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2.xml" ContentType="application/vnd.ms-office.chartstyle+xml"/>
  <Override PartName="/xl/charts/colors2.xml" ContentType="application/vnd.ms-office.chartcolorstyle+xml"/>
  <Override PartName="/xl/charts/chart10.xml" ContentType="application/vnd.openxmlformats-officedocument.drawingml.chart+xml"/>
  <Override PartName="/xl/charts/style3.xml" ContentType="application/vnd.ms-office.chartstyle+xml"/>
  <Override PartName="/xl/charts/colors3.xml" ContentType="application/vnd.ms-office.chartcolorstyle+xml"/>
  <Override PartName="/xl/charts/chart11.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harts/chart12.xml" ContentType="application/vnd.openxmlformats-officedocument.drawingml.chart+xml"/>
  <Override PartName="/xl/charts/chart1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style6.xml" ContentType="application/vnd.ms-office.chartstyle+xml"/>
  <Override PartName="/xl/charts/colors6.xml" ContentType="application/vnd.ms-office.chartcolorstyle+xml"/>
  <Override PartName="/xl/charts/chart16.xml" ContentType="application/vnd.openxmlformats-officedocument.drawingml.chart+xml"/>
  <Override PartName="/xl/charts/style7.xml" ContentType="application/vnd.ms-office.chartstyle+xml"/>
  <Override PartName="/xl/charts/colors7.xml" ContentType="application/vnd.ms-office.chartcolorstyle+xml"/>
  <Override PartName="/xl/charts/chart1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style9.xml" ContentType="application/vnd.ms-office.chartstyle+xml"/>
  <Override PartName="/xl/charts/colors9.xml" ContentType="application/vnd.ms-office.chartcolorstyle+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autoCompressPictures="0" defaultThemeVersion="124226"/>
  <mc:AlternateContent xmlns:mc="http://schemas.openxmlformats.org/markup-compatibility/2006">
    <mc:Choice Requires="x15">
      <x15ac:absPath xmlns:x15ac="http://schemas.microsoft.com/office/spreadsheetml/2010/11/ac" url="C:\SATIMGE_03\SATM\"/>
    </mc:Choice>
  </mc:AlternateContent>
  <xr:revisionPtr revIDLastSave="0" documentId="13_ncr:1_{1910C65C-0887-4D3B-BA82-0FFD9D418252}" xr6:coauthVersionLast="44" xr6:coauthVersionMax="44" xr10:uidLastSave="{00000000-0000-0000-0000-000000000000}"/>
  <bookViews>
    <workbookView xWindow="345" yWindow="240" windowWidth="20310" windowHeight="12075" tabRatio="791" firstSheet="8" activeTab="16" xr2:uid="{00000000-000D-0000-FFFF-FFFF00000000}"/>
  </bookViews>
  <sheets>
    <sheet name="ChangeLog" sheetId="37" r:id="rId1"/>
    <sheet name="REGIONS" sheetId="13" r:id="rId2"/>
    <sheet name="Index_SATIM" sheetId="1" r:id="rId3"/>
    <sheet name="Index_CGE" sheetId="54" r:id="rId4"/>
    <sheet name="Index_G2E" sheetId="45" r:id="rId5"/>
    <sheet name="Index_E2G" sheetId="46" r:id="rId6"/>
    <sheet name="POP_STATSSA" sheetId="52" r:id="rId7"/>
    <sheet name="MCDrivers" sheetId="49" r:id="rId8"/>
    <sheet name="MCEcon" sheetId="44" r:id="rId9"/>
    <sheet name="DMD" sheetId="47" r:id="rId10"/>
    <sheet name="hh.inc.regressions" sheetId="48" r:id="rId11"/>
    <sheet name="ITEMS_AGR" sheetId="34" r:id="rId12"/>
    <sheet name="AGR" sheetId="35" r:id="rId13"/>
    <sheet name="ITEMS_IND" sheetId="15" r:id="rId14"/>
    <sheet name="IND" sheetId="55" r:id="rId15"/>
    <sheet name="ITEMS_RES" sheetId="30" r:id="rId16"/>
    <sheet name="RES" sheetId="32" r:id="rId17"/>
    <sheet name="ITEMS_COM" sheetId="39" r:id="rId18"/>
    <sheet name="COM" sheetId="53" r:id="rId19"/>
    <sheet name="ITEMS_TRA" sheetId="27" r:id="rId20"/>
    <sheet name="FTRA" sheetId="56" r:id="rId21"/>
    <sheet name="PTRA" sheetId="57" r:id="rId22"/>
    <sheet name="OtherTRA" sheetId="29" r:id="rId23"/>
  </sheets>
  <externalReferences>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 localSheetId="14">[1]Index_SATIM!$C$7</definedName>
    <definedName name="AGR">Index_SATIM!$C$7</definedName>
    <definedName name="COM" localSheetId="14">[1]Index_SATIM!$C$8</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 localSheetId="14">[1]Index_SATIM!$C$9</definedName>
    <definedName name="IND">Index_SATIM!$C$9</definedName>
    <definedName name="MC_Switch">Index_SATIM!$C$3</definedName>
    <definedName name="Pal_Workbook_GUID" hidden="1">"JGWG76XASHMY4J7EVNW4KA69"</definedName>
    <definedName name="RES" localSheetId="14">[1]Index_SATIM!$C$10</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 localSheetId="14">[1]Index_SATIM!$C$11</definedName>
    <definedName name="TRA">Index_SATIM!$C$11</definedName>
    <definedName name="XLSIMSI" localSheetId="14" hidden="1">{"Sim",3,"Output 1","'Reworked data'!$AI$84","Output 2","'Reworked data'!$AJ$84","Output 3","'Reworked data'!$AK$84","1","2","100","0"}</definedName>
    <definedName name="XLSIMSI" hidden="1">{"Sim",3,"Output 1","'Reworked data'!$AI$84","Output 2","'Reworked data'!$AJ$84","Output 3","'Reworked data'!$AK$84","1","2","100","0"}</definedName>
    <definedName name="XLSIMSIM" localSheetId="14"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 i="46" l="1"/>
  <c r="C10" i="46"/>
  <c r="C9" i="46"/>
  <c r="K21" i="57"/>
  <c r="J21" i="57"/>
  <c r="I21" i="57"/>
  <c r="H21" i="57"/>
  <c r="F21" i="57"/>
  <c r="E21" i="57"/>
  <c r="K20" i="57"/>
  <c r="J20" i="57"/>
  <c r="I20" i="57"/>
  <c r="H20" i="57"/>
  <c r="F20" i="57"/>
  <c r="G20" i="57" s="1"/>
  <c r="E20" i="57"/>
  <c r="K19" i="57"/>
  <c r="J19" i="57"/>
  <c r="I19" i="57"/>
  <c r="H19" i="57"/>
  <c r="F19" i="57"/>
  <c r="E19" i="57"/>
  <c r="I15" i="57"/>
  <c r="H15" i="57"/>
  <c r="G15" i="57"/>
  <c r="J14" i="57"/>
  <c r="K13" i="57"/>
  <c r="J13" i="57"/>
  <c r="P13" i="57" s="1"/>
  <c r="I13" i="57"/>
  <c r="H13" i="57"/>
  <c r="G13" i="57"/>
  <c r="K11" i="57"/>
  <c r="K14" i="57" s="1"/>
  <c r="J11" i="57"/>
  <c r="J15" i="57" s="1"/>
  <c r="I11" i="57"/>
  <c r="I14" i="57" s="1"/>
  <c r="H11" i="57"/>
  <c r="H14" i="57" s="1"/>
  <c r="G11" i="57"/>
  <c r="G14" i="57" s="1"/>
  <c r="G16" i="57" s="1"/>
  <c r="F11" i="57"/>
  <c r="F13" i="57" s="1"/>
  <c r="E11" i="57"/>
  <c r="E15" i="57" s="1"/>
  <c r="D3" i="57"/>
  <c r="D4" i="57" s="1"/>
  <c r="D144" i="56"/>
  <c r="D143" i="56"/>
  <c r="D142" i="56"/>
  <c r="D141" i="56"/>
  <c r="D140" i="56"/>
  <c r="D139" i="56"/>
  <c r="D138" i="56"/>
  <c r="D137" i="56"/>
  <c r="D136" i="56"/>
  <c r="D135" i="56"/>
  <c r="D134" i="56"/>
  <c r="D133" i="56"/>
  <c r="D132" i="56"/>
  <c r="D123" i="56"/>
  <c r="D122" i="56"/>
  <c r="D121" i="56"/>
  <c r="D120" i="56"/>
  <c r="D119" i="56"/>
  <c r="D118" i="56"/>
  <c r="D117" i="56"/>
  <c r="D116" i="56"/>
  <c r="D115" i="56"/>
  <c r="K115" i="56" s="1"/>
  <c r="J136" i="56" s="1"/>
  <c r="D114" i="56"/>
  <c r="K114" i="56" s="1"/>
  <c r="J135" i="56" s="1"/>
  <c r="D113" i="56"/>
  <c r="D112" i="56"/>
  <c r="D111" i="56"/>
  <c r="C25" i="56"/>
  <c r="B25" i="56"/>
  <c r="C24" i="56"/>
  <c r="B24" i="56"/>
  <c r="C23" i="56"/>
  <c r="B23" i="56"/>
  <c r="C22" i="56"/>
  <c r="B22" i="56"/>
  <c r="B35" i="56" s="1"/>
  <c r="C21" i="56"/>
  <c r="B21" i="56"/>
  <c r="C20" i="56"/>
  <c r="B20" i="56"/>
  <c r="C19" i="56"/>
  <c r="B19" i="56"/>
  <c r="C18" i="56"/>
  <c r="B18" i="56"/>
  <c r="C17" i="56"/>
  <c r="B17" i="56"/>
  <c r="C16" i="56"/>
  <c r="B16" i="56"/>
  <c r="C15" i="56"/>
  <c r="C94" i="56" s="1"/>
  <c r="C78" i="56" s="1"/>
  <c r="B15" i="56"/>
  <c r="C14" i="56"/>
  <c r="B14" i="56"/>
  <c r="C13" i="56"/>
  <c r="B13" i="56"/>
  <c r="G9" i="56"/>
  <c r="F9" i="56"/>
  <c r="D9" i="56"/>
  <c r="L9" i="56" s="1"/>
  <c r="R9" i="56" s="1"/>
  <c r="X9" i="56" s="1"/>
  <c r="L8" i="56"/>
  <c r="K8" i="56"/>
  <c r="I8" i="56"/>
  <c r="D8" i="56"/>
  <c r="J8" i="56" s="1"/>
  <c r="K7" i="56"/>
  <c r="J7" i="56"/>
  <c r="I7" i="56"/>
  <c r="H7" i="56"/>
  <c r="G7" i="56"/>
  <c r="D7" i="56"/>
  <c r="L7" i="56" s="1"/>
  <c r="L3" i="56"/>
  <c r="K3" i="56"/>
  <c r="J3" i="56"/>
  <c r="I3" i="56"/>
  <c r="H3" i="56"/>
  <c r="H8" i="56" s="1"/>
  <c r="G3" i="56"/>
  <c r="F3" i="56"/>
  <c r="F7" i="56" s="1"/>
  <c r="D3" i="56"/>
  <c r="D1" i="56"/>
  <c r="J260" i="57"/>
  <c r="H260" i="57"/>
  <c r="J259" i="57"/>
  <c r="H259" i="57"/>
  <c r="J258" i="57"/>
  <c r="H258" i="57"/>
  <c r="K254" i="57"/>
  <c r="B253" i="57"/>
  <c r="B252" i="57"/>
  <c r="B251" i="57"/>
  <c r="J246" i="57"/>
  <c r="I246" i="57"/>
  <c r="H246" i="57"/>
  <c r="G246" i="57"/>
  <c r="F246" i="57"/>
  <c r="E246" i="57"/>
  <c r="D246" i="57"/>
  <c r="C246" i="57"/>
  <c r="H245" i="57"/>
  <c r="F245" i="57"/>
  <c r="C245" i="57"/>
  <c r="BD245" i="57" s="1"/>
  <c r="J244" i="57"/>
  <c r="I244" i="57"/>
  <c r="H244" i="57"/>
  <c r="G244" i="57"/>
  <c r="F244" i="57"/>
  <c r="C244" i="57"/>
  <c r="I235" i="57"/>
  <c r="I234" i="57"/>
  <c r="I233" i="57"/>
  <c r="H233" i="57"/>
  <c r="G233" i="57"/>
  <c r="F233" i="57"/>
  <c r="E233" i="57"/>
  <c r="C233" i="57"/>
  <c r="B233" i="57"/>
  <c r="I232" i="57"/>
  <c r="H232" i="57"/>
  <c r="G232" i="57"/>
  <c r="F232" i="57"/>
  <c r="E232" i="57"/>
  <c r="C232" i="57"/>
  <c r="B232" i="57"/>
  <c r="I231" i="57"/>
  <c r="H231" i="57"/>
  <c r="G231" i="57"/>
  <c r="F231" i="57"/>
  <c r="E231" i="57"/>
  <c r="C231" i="57"/>
  <c r="B231" i="57"/>
  <c r="I230" i="57"/>
  <c r="H230" i="57"/>
  <c r="G230" i="57"/>
  <c r="F230" i="57"/>
  <c r="E230" i="57"/>
  <c r="C230" i="57"/>
  <c r="B230" i="57"/>
  <c r="I229" i="57"/>
  <c r="H229" i="57"/>
  <c r="G229" i="57"/>
  <c r="F229" i="57"/>
  <c r="E229" i="57"/>
  <c r="C229" i="57"/>
  <c r="B229" i="57"/>
  <c r="I228" i="57"/>
  <c r="H228" i="57"/>
  <c r="G228" i="57"/>
  <c r="F228" i="57"/>
  <c r="E228" i="57"/>
  <c r="C228" i="57"/>
  <c r="B228" i="57"/>
  <c r="L227" i="57"/>
  <c r="K227" i="57"/>
  <c r="AX224" i="57"/>
  <c r="AW224" i="57"/>
  <c r="L224" i="57"/>
  <c r="J224" i="57"/>
  <c r="I224" i="57"/>
  <c r="I245" i="57" s="1"/>
  <c r="H224" i="57"/>
  <c r="G224" i="57"/>
  <c r="G245" i="57" s="1"/>
  <c r="F224" i="57"/>
  <c r="E224" i="57"/>
  <c r="E245" i="57" s="1"/>
  <c r="AX223" i="57"/>
  <c r="AW223" i="57"/>
  <c r="E223" i="57"/>
  <c r="E244"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AO211" i="57"/>
  <c r="K211" i="57"/>
  <c r="J211" i="57"/>
  <c r="H211" i="57"/>
  <c r="BG210" i="57"/>
  <c r="AP210" i="57"/>
  <c r="AO210" i="57"/>
  <c r="AN210" i="57"/>
  <c r="AM210" i="57"/>
  <c r="L210" i="57"/>
  <c r="E210" i="57"/>
  <c r="AP211" i="57" s="1"/>
  <c r="M209" i="57"/>
  <c r="L209" i="57"/>
  <c r="K209" i="57"/>
  <c r="K210" i="57" s="1"/>
  <c r="I207" i="57"/>
  <c r="H207" i="57"/>
  <c r="G207" i="57"/>
  <c r="F207" i="57"/>
  <c r="E207" i="57"/>
  <c r="C207" i="57"/>
  <c r="B207" i="57"/>
  <c r="I206" i="57"/>
  <c r="H206" i="57"/>
  <c r="G206" i="57"/>
  <c r="F206" i="57"/>
  <c r="E206" i="57"/>
  <c r="D206" i="57"/>
  <c r="J206" i="57" s="1"/>
  <c r="C206" i="57"/>
  <c r="B206" i="57"/>
  <c r="I205" i="57"/>
  <c r="H205" i="57"/>
  <c r="G205" i="57"/>
  <c r="F205" i="57"/>
  <c r="E205" i="57"/>
  <c r="C205" i="57"/>
  <c r="B205" i="57"/>
  <c r="I204" i="57"/>
  <c r="H204" i="57"/>
  <c r="G204" i="57"/>
  <c r="F204" i="57"/>
  <c r="E204" i="57"/>
  <c r="D204" i="57"/>
  <c r="J204" i="57" s="1"/>
  <c r="C204" i="57"/>
  <c r="B204" i="57"/>
  <c r="I203" i="57"/>
  <c r="H203" i="57"/>
  <c r="G203" i="57"/>
  <c r="F203" i="57"/>
  <c r="E203" i="57"/>
  <c r="C203" i="57"/>
  <c r="B203" i="57"/>
  <c r="I202" i="57"/>
  <c r="H202" i="57"/>
  <c r="G202" i="57"/>
  <c r="F202" i="57"/>
  <c r="E202" i="57"/>
  <c r="C202" i="57"/>
  <c r="B202" i="57"/>
  <c r="I201" i="57"/>
  <c r="H201" i="57"/>
  <c r="G201" i="57"/>
  <c r="F201" i="57"/>
  <c r="E201" i="57"/>
  <c r="C201" i="57"/>
  <c r="B201" i="57"/>
  <c r="I200" i="57"/>
  <c r="H200" i="57"/>
  <c r="G200" i="57"/>
  <c r="F200" i="57"/>
  <c r="E200" i="57"/>
  <c r="C200" i="57"/>
  <c r="B200" i="57"/>
  <c r="BG197" i="57"/>
  <c r="AP197" i="57"/>
  <c r="AO197" i="57"/>
  <c r="AN197" i="57"/>
  <c r="AM197" i="57"/>
  <c r="L197" i="57"/>
  <c r="K197" i="57"/>
  <c r="J197" i="57"/>
  <c r="I197" i="57"/>
  <c r="H197" i="57"/>
  <c r="G197" i="57"/>
  <c r="F197" i="57"/>
  <c r="E197" i="57"/>
  <c r="D197" i="57"/>
  <c r="BG196" i="57"/>
  <c r="AP196" i="57"/>
  <c r="AO196" i="57"/>
  <c r="AN196" i="57"/>
  <c r="AM196" i="57"/>
  <c r="L196" i="57"/>
  <c r="J196" i="57"/>
  <c r="AG195" i="57"/>
  <c r="AH195" i="57" s="1"/>
  <c r="AI195" i="57" s="1"/>
  <c r="AJ195" i="57" s="1"/>
  <c r="AK195" i="57" s="1"/>
  <c r="AL195" i="57" s="1"/>
  <c r="X195" i="57"/>
  <c r="Y195" i="57" s="1"/>
  <c r="Z195" i="57" s="1"/>
  <c r="AA195" i="57" s="1"/>
  <c r="AB195" i="57" s="1"/>
  <c r="AC195" i="57" s="1"/>
  <c r="AD195" i="57" s="1"/>
  <c r="AE195" i="57" s="1"/>
  <c r="AF195" i="57" s="1"/>
  <c r="N195" i="57"/>
  <c r="O195" i="57" s="1"/>
  <c r="P195" i="57" s="1"/>
  <c r="Q195" i="57" s="1"/>
  <c r="R195" i="57" s="1"/>
  <c r="S195" i="57" s="1"/>
  <c r="T195" i="57" s="1"/>
  <c r="U195" i="57" s="1"/>
  <c r="V195" i="57" s="1"/>
  <c r="W195" i="57" s="1"/>
  <c r="L195" i="57"/>
  <c r="M195" i="57" s="1"/>
  <c r="K195" i="57"/>
  <c r="K196" i="57" s="1"/>
  <c r="C193" i="57"/>
  <c r="B193" i="57"/>
  <c r="D221" i="57" s="1"/>
  <c r="J221" i="57" s="1"/>
  <c r="C192" i="57"/>
  <c r="B192" i="57"/>
  <c r="D220" i="57" s="1"/>
  <c r="J220" i="57" s="1"/>
  <c r="C191" i="57"/>
  <c r="B191" i="57"/>
  <c r="D219" i="57" s="1"/>
  <c r="J219" i="57" s="1"/>
  <c r="G190" i="57"/>
  <c r="F190" i="57"/>
  <c r="C190" i="57"/>
  <c r="B190" i="57"/>
  <c r="D218" i="57" s="1"/>
  <c r="J218" i="57" s="1"/>
  <c r="L189" i="57"/>
  <c r="G189" i="57"/>
  <c r="F189" i="57"/>
  <c r="E189" i="57"/>
  <c r="C189" i="57"/>
  <c r="B189" i="57"/>
  <c r="D217" i="57" s="1"/>
  <c r="J217" i="57" s="1"/>
  <c r="G188" i="57"/>
  <c r="F188" i="57"/>
  <c r="E188" i="57"/>
  <c r="C188" i="57"/>
  <c r="B188" i="57"/>
  <c r="D216" i="57" s="1"/>
  <c r="J216" i="57" s="1"/>
  <c r="G187" i="57"/>
  <c r="F187" i="57"/>
  <c r="E187" i="57"/>
  <c r="C187" i="57"/>
  <c r="B187" i="57"/>
  <c r="D215" i="57" s="1"/>
  <c r="J215" i="57" s="1"/>
  <c r="G186" i="57"/>
  <c r="F186" i="57"/>
  <c r="E186" i="57"/>
  <c r="C186" i="57"/>
  <c r="B186" i="57"/>
  <c r="D214" i="57" s="1"/>
  <c r="J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J207" i="57" s="1"/>
  <c r="C178" i="57"/>
  <c r="B178" i="57"/>
  <c r="C177" i="57"/>
  <c r="B177" i="57"/>
  <c r="D205" i="57" s="1"/>
  <c r="J205" i="57" s="1"/>
  <c r="C176" i="57"/>
  <c r="B176" i="57"/>
  <c r="C175" i="57"/>
  <c r="B175" i="57"/>
  <c r="D203" i="57" s="1"/>
  <c r="J203" i="57" s="1"/>
  <c r="C174" i="57"/>
  <c r="B174" i="57"/>
  <c r="D202" i="57" s="1"/>
  <c r="J202" i="57" s="1"/>
  <c r="C173" i="57"/>
  <c r="B173" i="57"/>
  <c r="D201" i="57" s="1"/>
  <c r="J201" i="57" s="1"/>
  <c r="L172" i="57"/>
  <c r="C172" i="57"/>
  <c r="B172" i="57"/>
  <c r="D200" i="57" s="1"/>
  <c r="J200" i="57" s="1"/>
  <c r="W171" i="57"/>
  <c r="U171" i="57"/>
  <c r="T171" i="57"/>
  <c r="S171" i="57"/>
  <c r="Q171" i="57"/>
  <c r="O171" i="57"/>
  <c r="N171" i="57"/>
  <c r="G171" i="57"/>
  <c r="F171" i="57"/>
  <c r="M171" i="57" s="1"/>
  <c r="L168" i="57"/>
  <c r="L167" i="57"/>
  <c r="D167" i="57"/>
  <c r="L166" i="57"/>
  <c r="L165" i="57"/>
  <c r="L164" i="57"/>
  <c r="L163" i="57"/>
  <c r="L162" i="57"/>
  <c r="L161" i="57"/>
  <c r="W160" i="57"/>
  <c r="S160" i="57"/>
  <c r="Q160" i="57"/>
  <c r="O160" i="57"/>
  <c r="U160" i="57" s="1"/>
  <c r="N160" i="57"/>
  <c r="T160" i="57" s="1"/>
  <c r="G160" i="57"/>
  <c r="F160" i="57"/>
  <c r="M160" i="57" s="1"/>
  <c r="L156" i="57"/>
  <c r="L155" i="57"/>
  <c r="D155" i="57"/>
  <c r="L154" i="57"/>
  <c r="L153" i="57"/>
  <c r="L152" i="57"/>
  <c r="L151" i="57"/>
  <c r="L150" i="57"/>
  <c r="L149" i="57"/>
  <c r="G148" i="57"/>
  <c r="F148" i="57"/>
  <c r="S147" i="57"/>
  <c r="M147" i="57"/>
  <c r="F143" i="57"/>
  <c r="E143" i="57"/>
  <c r="E142" i="57"/>
  <c r="E164" i="57" s="1"/>
  <c r="E139" i="57"/>
  <c r="F138" i="57"/>
  <c r="E138" i="57"/>
  <c r="F137" i="57"/>
  <c r="G137" i="57" s="1"/>
  <c r="E137" i="57"/>
  <c r="S134" i="57"/>
  <c r="N134" i="57"/>
  <c r="G134" i="57"/>
  <c r="E134" i="57"/>
  <c r="F134" i="57" s="1"/>
  <c r="M134" i="57" s="1"/>
  <c r="W133" i="57"/>
  <c r="G133" i="57"/>
  <c r="F133" i="57"/>
  <c r="S133" i="57" s="1"/>
  <c r="S132" i="57" s="1"/>
  <c r="E133" i="57"/>
  <c r="E132" i="57"/>
  <c r="F132" i="57" s="1"/>
  <c r="G132" i="57" s="1"/>
  <c r="C127" i="57"/>
  <c r="C125" i="57"/>
  <c r="C129" i="57" s="1"/>
  <c r="C124" i="57"/>
  <c r="C128" i="57" s="1"/>
  <c r="C123" i="57"/>
  <c r="C121" i="57"/>
  <c r="C120" i="57"/>
  <c r="C119" i="57"/>
  <c r="C110" i="57"/>
  <c r="T104" i="57"/>
  <c r="O104" i="57"/>
  <c r="N104" i="57"/>
  <c r="E104" i="57"/>
  <c r="W103" i="57"/>
  <c r="W104" i="57" s="1"/>
  <c r="V103" i="57"/>
  <c r="V104" i="57" s="1"/>
  <c r="U103" i="57"/>
  <c r="U104" i="57" s="1"/>
  <c r="O103" i="57"/>
  <c r="P103" i="57" s="1"/>
  <c r="G103" i="57"/>
  <c r="F103" i="57"/>
  <c r="C103" i="57"/>
  <c r="F102" i="57"/>
  <c r="T100" i="57"/>
  <c r="P100" i="57"/>
  <c r="O100" i="57"/>
  <c r="N100" i="57"/>
  <c r="E100" i="57"/>
  <c r="C100" i="57"/>
  <c r="C104" i="57" s="1"/>
  <c r="W99" i="57"/>
  <c r="W100" i="57" s="1"/>
  <c r="V99" i="57"/>
  <c r="V100" i="57" s="1"/>
  <c r="U99" i="57"/>
  <c r="U100" i="57" s="1"/>
  <c r="O99" i="57"/>
  <c r="P99" i="57" s="1"/>
  <c r="Q99" i="57" s="1"/>
  <c r="Q100" i="57" s="1"/>
  <c r="F99" i="57"/>
  <c r="C99" i="57"/>
  <c r="U98" i="57"/>
  <c r="S98" i="57"/>
  <c r="M98" i="57"/>
  <c r="G98" i="57"/>
  <c r="F98" i="57"/>
  <c r="C98" i="57"/>
  <c r="C102" i="57" s="1"/>
  <c r="W96" i="57"/>
  <c r="V96" i="57"/>
  <c r="T96" i="57"/>
  <c r="Q96" i="57"/>
  <c r="P96" i="57"/>
  <c r="O96" i="57"/>
  <c r="N96" i="57"/>
  <c r="E96" i="57"/>
  <c r="S95" i="57"/>
  <c r="M95" i="57"/>
  <c r="G95" i="57"/>
  <c r="F95" i="57"/>
  <c r="U94" i="57"/>
  <c r="U96" i="57" s="1"/>
  <c r="F94" i="57"/>
  <c r="C90" i="57"/>
  <c r="Q89" i="57"/>
  <c r="O89" i="57"/>
  <c r="P89" i="57" s="1"/>
  <c r="M89" i="57"/>
  <c r="G89" i="57"/>
  <c r="F89" i="57"/>
  <c r="S89" i="57" s="1"/>
  <c r="C89" i="57"/>
  <c r="M88" i="57"/>
  <c r="F88" i="57"/>
  <c r="C85" i="57"/>
  <c r="S84" i="57"/>
  <c r="Q84" i="57"/>
  <c r="P84" i="57"/>
  <c r="O84" i="57"/>
  <c r="M84" i="57"/>
  <c r="F84" i="57"/>
  <c r="G84" i="57" s="1"/>
  <c r="C84" i="57"/>
  <c r="S83" i="57"/>
  <c r="M83" i="57"/>
  <c r="G83" i="57"/>
  <c r="F83" i="57"/>
  <c r="C83" i="57"/>
  <c r="C88" i="57" s="1"/>
  <c r="C82" i="57"/>
  <c r="C87" i="57" s="1"/>
  <c r="E80" i="57"/>
  <c r="S79" i="57"/>
  <c r="G79" i="57"/>
  <c r="F79" i="57"/>
  <c r="M79" i="57" s="1"/>
  <c r="M78" i="57"/>
  <c r="F78" i="57"/>
  <c r="E77" i="57"/>
  <c r="V76" i="57"/>
  <c r="N76" i="57"/>
  <c r="E73" i="57"/>
  <c r="F73" i="57" s="1"/>
  <c r="E70" i="57"/>
  <c r="E68" i="57" s="1"/>
  <c r="F68" i="57" s="1"/>
  <c r="F67" i="57"/>
  <c r="E67" i="57"/>
  <c r="F64" i="57"/>
  <c r="E64" i="57"/>
  <c r="E57" i="57"/>
  <c r="C56" i="57"/>
  <c r="W53" i="57"/>
  <c r="W76" i="57" s="1"/>
  <c r="V53" i="57"/>
  <c r="U53" i="57"/>
  <c r="U76" i="57" s="1"/>
  <c r="T53" i="57"/>
  <c r="T76" i="57" s="1"/>
  <c r="Q53" i="57"/>
  <c r="Q76" i="57" s="1"/>
  <c r="P53" i="57"/>
  <c r="P76" i="57" s="1"/>
  <c r="O53" i="57"/>
  <c r="O76" i="57" s="1"/>
  <c r="N53" i="57"/>
  <c r="G53" i="57"/>
  <c r="E49" i="57"/>
  <c r="F48" i="57"/>
  <c r="W46" i="57"/>
  <c r="V46" i="57"/>
  <c r="U46" i="57"/>
  <c r="T46" i="57"/>
  <c r="S46" i="57"/>
  <c r="Q46" i="57"/>
  <c r="P46" i="57"/>
  <c r="O46" i="57"/>
  <c r="N46" i="57"/>
  <c r="M46" i="57"/>
  <c r="M44" i="57"/>
  <c r="E44" i="57"/>
  <c r="S43" i="57"/>
  <c r="M43" i="57"/>
  <c r="E43" i="57"/>
  <c r="E87" i="57" s="1"/>
  <c r="E90" i="57" s="1"/>
  <c r="E42" i="57"/>
  <c r="M42" i="57" s="1"/>
  <c r="E41" i="57"/>
  <c r="M41" i="57" s="1"/>
  <c r="W40" i="57"/>
  <c r="V40" i="57"/>
  <c r="U40" i="57"/>
  <c r="T40" i="57"/>
  <c r="Q40" i="57"/>
  <c r="P40" i="57"/>
  <c r="O40" i="57"/>
  <c r="N40" i="57"/>
  <c r="G40" i="57"/>
  <c r="F40" i="57"/>
  <c r="N38" i="57"/>
  <c r="E38" i="57"/>
  <c r="M38" i="57" s="1"/>
  <c r="S38" i="57" s="1"/>
  <c r="T38" i="57" s="1"/>
  <c r="U38" i="57" s="1"/>
  <c r="V38" i="57" s="1"/>
  <c r="W38" i="57" s="1"/>
  <c r="O37" i="57"/>
  <c r="P37" i="57" s="1"/>
  <c r="Q37" i="57" s="1"/>
  <c r="N37" i="57"/>
  <c r="M37" i="57"/>
  <c r="S37" i="57" s="1"/>
  <c r="T37" i="57" s="1"/>
  <c r="U37" i="57" s="1"/>
  <c r="V37" i="57" s="1"/>
  <c r="W37" i="57" s="1"/>
  <c r="E37" i="57"/>
  <c r="E36" i="57"/>
  <c r="N35" i="57"/>
  <c r="M35" i="57"/>
  <c r="E35" i="57"/>
  <c r="C35" i="57"/>
  <c r="C41" i="57" s="1"/>
  <c r="W34" i="57"/>
  <c r="V34" i="57"/>
  <c r="U34" i="57"/>
  <c r="T34" i="57"/>
  <c r="Q34" i="57"/>
  <c r="P34" i="57"/>
  <c r="O34" i="57"/>
  <c r="N34" i="57"/>
  <c r="M34" i="57"/>
  <c r="G34" i="57"/>
  <c r="F34" i="57"/>
  <c r="S34" i="57" s="1"/>
  <c r="N32" i="57"/>
  <c r="O32" i="57" s="1"/>
  <c r="M32" i="57"/>
  <c r="E32" i="57"/>
  <c r="N31" i="57"/>
  <c r="M31" i="57"/>
  <c r="E31" i="57"/>
  <c r="M30" i="57"/>
  <c r="S30" i="57" s="1"/>
  <c r="T30" i="57" s="1"/>
  <c r="E30" i="57"/>
  <c r="W29" i="57"/>
  <c r="V29" i="57"/>
  <c r="U29" i="57"/>
  <c r="T29" i="57"/>
  <c r="Q29" i="57"/>
  <c r="P29" i="57"/>
  <c r="O29" i="57"/>
  <c r="N29" i="57"/>
  <c r="M29" i="57"/>
  <c r="G29" i="57"/>
  <c r="F29" i="57"/>
  <c r="S29" i="57" s="1"/>
  <c r="M27" i="57"/>
  <c r="E27" i="57"/>
  <c r="C27" i="57"/>
  <c r="C32" i="57" s="1"/>
  <c r="C37" i="57" s="1"/>
  <c r="C43" i="57" s="1"/>
  <c r="E26" i="57"/>
  <c r="C26" i="57"/>
  <c r="C31" i="57" s="1"/>
  <c r="E25" i="57"/>
  <c r="C25" i="57"/>
  <c r="C30" i="57" s="1"/>
  <c r="C54" i="57" s="1"/>
  <c r="C107" i="57" s="1"/>
  <c r="W24" i="57"/>
  <c r="V24" i="57"/>
  <c r="U24" i="57"/>
  <c r="T24" i="57"/>
  <c r="S24" i="57"/>
  <c r="Q24" i="57"/>
  <c r="P24" i="57"/>
  <c r="O24" i="57"/>
  <c r="N24" i="57"/>
  <c r="M24" i="57"/>
  <c r="G24" i="57"/>
  <c r="F24" i="57"/>
  <c r="O21" i="57"/>
  <c r="P21" i="57" s="1"/>
  <c r="G21" i="57"/>
  <c r="G19" i="57"/>
  <c r="G18" i="57"/>
  <c r="V14" i="57"/>
  <c r="P14" i="57"/>
  <c r="F12" i="57"/>
  <c r="F53" i="57" s="1"/>
  <c r="B26" i="57"/>
  <c r="C3" i="57"/>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M168" i="56"/>
  <c r="AH168" i="56"/>
  <c r="AA168"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S131" i="56"/>
  <c r="AB130" i="56"/>
  <c r="AB131" i="56" s="1"/>
  <c r="X130" i="56"/>
  <c r="U130" i="56"/>
  <c r="T130" i="56"/>
  <c r="S130"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E129" i="56"/>
  <c r="D129" i="56"/>
  <c r="AE130" i="56" s="1"/>
  <c r="AP128" i="56"/>
  <c r="AO128" i="56"/>
  <c r="AN128" i="56"/>
  <c r="AM128" i="56"/>
  <c r="AL128" i="56"/>
  <c r="AK128" i="56"/>
  <c r="AJ128" i="56"/>
  <c r="AI128" i="56"/>
  <c r="AH128" i="56"/>
  <c r="AG128" i="56"/>
  <c r="AF128" i="56"/>
  <c r="AE128" i="56"/>
  <c r="AE131" i="56" s="1"/>
  <c r="AD128" i="56"/>
  <c r="AC128" i="56"/>
  <c r="AB128" i="56"/>
  <c r="AA128" i="56"/>
  <c r="Z128" i="56"/>
  <c r="Y128" i="56"/>
  <c r="X128" i="56"/>
  <c r="X131" i="56" s="1"/>
  <c r="W128" i="56"/>
  <c r="V128" i="56"/>
  <c r="U128" i="56"/>
  <c r="T128" i="56"/>
  <c r="S128" i="56"/>
  <c r="R128" i="56"/>
  <c r="Q128" i="56"/>
  <c r="P128" i="56"/>
  <c r="O128" i="56"/>
  <c r="N128" i="56"/>
  <c r="M128" i="56"/>
  <c r="L128" i="56"/>
  <c r="K128" i="56"/>
  <c r="J128" i="56"/>
  <c r="K123" i="56"/>
  <c r="J144" i="56" s="1"/>
  <c r="K183" i="56" s="1"/>
  <c r="I123" i="56"/>
  <c r="H123" i="56"/>
  <c r="G123" i="56"/>
  <c r="F123" i="56"/>
  <c r="E123" i="56"/>
  <c r="C123" i="56"/>
  <c r="B123" i="56"/>
  <c r="I122" i="56"/>
  <c r="H122" i="56"/>
  <c r="G122" i="56"/>
  <c r="F122" i="56"/>
  <c r="E122" i="56"/>
  <c r="K122" i="56"/>
  <c r="J143" i="56" s="1"/>
  <c r="K182" i="56" s="1"/>
  <c r="C122" i="56"/>
  <c r="B122" i="56"/>
  <c r="I121" i="56"/>
  <c r="H121" i="56"/>
  <c r="G121" i="56"/>
  <c r="F121" i="56"/>
  <c r="E121" i="56"/>
  <c r="K121" i="56"/>
  <c r="J142" i="56" s="1"/>
  <c r="K181" i="56" s="1"/>
  <c r="C121" i="56"/>
  <c r="B121" i="56"/>
  <c r="K120" i="56"/>
  <c r="J141" i="56" s="1"/>
  <c r="I120" i="56"/>
  <c r="H120" i="56"/>
  <c r="G120" i="56"/>
  <c r="F120" i="56"/>
  <c r="E120" i="56"/>
  <c r="C120" i="56"/>
  <c r="B120" i="56"/>
  <c r="K119" i="56"/>
  <c r="J140" i="56" s="1"/>
  <c r="I119" i="56"/>
  <c r="H119" i="56"/>
  <c r="G119" i="56"/>
  <c r="F119" i="56"/>
  <c r="E119" i="56"/>
  <c r="C119" i="56"/>
  <c r="B119" i="56"/>
  <c r="K118" i="56"/>
  <c r="J139" i="56" s="1"/>
  <c r="I118" i="56"/>
  <c r="H118" i="56"/>
  <c r="G118" i="56"/>
  <c r="F118" i="56"/>
  <c r="E118" i="56"/>
  <c r="C118" i="56"/>
  <c r="B118" i="56"/>
  <c r="K117" i="56"/>
  <c r="J138" i="56" s="1"/>
  <c r="I117" i="56"/>
  <c r="H117" i="56"/>
  <c r="G117" i="56"/>
  <c r="F117" i="56"/>
  <c r="E117" i="56"/>
  <c r="C117" i="56"/>
  <c r="B117" i="56"/>
  <c r="I116" i="56"/>
  <c r="H116" i="56"/>
  <c r="G116" i="56"/>
  <c r="F116" i="56"/>
  <c r="E116" i="56"/>
  <c r="K116" i="56"/>
  <c r="J137" i="56" s="1"/>
  <c r="C116" i="56"/>
  <c r="B116" i="56"/>
  <c r="I115" i="56"/>
  <c r="H115" i="56"/>
  <c r="G115" i="56"/>
  <c r="F115" i="56"/>
  <c r="E115" i="56"/>
  <c r="C115" i="56"/>
  <c r="B115" i="56"/>
  <c r="I114" i="56"/>
  <c r="H114" i="56"/>
  <c r="G114" i="56"/>
  <c r="F114" i="56"/>
  <c r="E114" i="56"/>
  <c r="C114" i="56"/>
  <c r="B114" i="56"/>
  <c r="I113" i="56"/>
  <c r="H113" i="56"/>
  <c r="G113" i="56"/>
  <c r="F113" i="56"/>
  <c r="E113" i="56"/>
  <c r="K113" i="56"/>
  <c r="J134" i="56" s="1"/>
  <c r="C113" i="56"/>
  <c r="B113" i="56"/>
  <c r="I112" i="56"/>
  <c r="H112" i="56"/>
  <c r="G112" i="56"/>
  <c r="F112" i="56"/>
  <c r="E112" i="56"/>
  <c r="K112" i="56"/>
  <c r="J133" i="56" s="1"/>
  <c r="C112" i="56"/>
  <c r="B112" i="56"/>
  <c r="K111" i="56"/>
  <c r="J132" i="56" s="1"/>
  <c r="I111" i="56"/>
  <c r="H111" i="56"/>
  <c r="G111" i="56"/>
  <c r="F111" i="56"/>
  <c r="E111" i="56"/>
  <c r="C111" i="56"/>
  <c r="B111" i="56"/>
  <c r="AX109" i="56"/>
  <c r="AY108" i="56"/>
  <c r="AX108" i="56"/>
  <c r="L108" i="56"/>
  <c r="K108" i="56"/>
  <c r="H108" i="56"/>
  <c r="G108" i="56"/>
  <c r="F108" i="56"/>
  <c r="E108" i="56"/>
  <c r="L109" i="56" s="1"/>
  <c r="D108" i="56"/>
  <c r="AY109" i="56" s="1"/>
  <c r="AY107" i="56"/>
  <c r="AY110" i="56" s="1"/>
  <c r="AX107" i="56"/>
  <c r="L107" i="56"/>
  <c r="K107" i="56"/>
  <c r="M106" i="56"/>
  <c r="L106" i="56"/>
  <c r="F104" i="56"/>
  <c r="B104" i="56"/>
  <c r="F103" i="56"/>
  <c r="F47" i="56" s="1"/>
  <c r="C103" i="56"/>
  <c r="C87" i="56" s="1"/>
  <c r="B103" i="56"/>
  <c r="F102" i="56"/>
  <c r="F59" i="56" s="1"/>
  <c r="B102" i="56"/>
  <c r="C101" i="56"/>
  <c r="C85" i="56" s="1"/>
  <c r="B101" i="56"/>
  <c r="B100" i="56"/>
  <c r="B84" i="56" s="1"/>
  <c r="J179" i="56" s="1"/>
  <c r="B99" i="56"/>
  <c r="B98" i="56"/>
  <c r="B82" i="56" s="1"/>
  <c r="J177" i="56" s="1"/>
  <c r="B97" i="56"/>
  <c r="B81" i="56" s="1"/>
  <c r="J176" i="56" s="1"/>
  <c r="B96" i="56"/>
  <c r="B80" i="56" s="1"/>
  <c r="J175" i="56" s="1"/>
  <c r="B95" i="56"/>
  <c r="B94" i="56"/>
  <c r="B93" i="56"/>
  <c r="B92" i="56"/>
  <c r="X91" i="56"/>
  <c r="W91" i="56"/>
  <c r="V91" i="56"/>
  <c r="U91" i="56"/>
  <c r="T91" i="56"/>
  <c r="L91" i="56"/>
  <c r="K91" i="56"/>
  <c r="J91" i="56"/>
  <c r="I91" i="56"/>
  <c r="H91" i="56"/>
  <c r="G91" i="56"/>
  <c r="F91" i="56"/>
  <c r="B88" i="56"/>
  <c r="J183" i="56" s="1"/>
  <c r="B87" i="56"/>
  <c r="J182" i="56" s="1"/>
  <c r="F86" i="56"/>
  <c r="B86" i="56"/>
  <c r="J181" i="56" s="1"/>
  <c r="F85" i="56"/>
  <c r="B85" i="56"/>
  <c r="J180" i="56" s="1"/>
  <c r="F83" i="56"/>
  <c r="B83" i="56"/>
  <c r="J178" i="56" s="1"/>
  <c r="B79" i="56"/>
  <c r="J174" i="56" s="1"/>
  <c r="B78" i="56"/>
  <c r="J173" i="56" s="1"/>
  <c r="B77" i="56"/>
  <c r="J172" i="56" s="1"/>
  <c r="B76" i="56"/>
  <c r="J171" i="56" s="1"/>
  <c r="AC75" i="56"/>
  <c r="AA75" i="56"/>
  <c r="T75" i="56"/>
  <c r="AG75" i="56" s="1"/>
  <c r="S75" i="56"/>
  <c r="R75" i="56"/>
  <c r="Q75" i="56"/>
  <c r="AD75" i="56" s="1"/>
  <c r="P75" i="56"/>
  <c r="V75" i="56" s="1"/>
  <c r="AI75" i="56" s="1"/>
  <c r="O75" i="56"/>
  <c r="N75" i="56"/>
  <c r="L75" i="56"/>
  <c r="K75" i="56"/>
  <c r="J75" i="56"/>
  <c r="I75" i="56"/>
  <c r="H75" i="56"/>
  <c r="G75" i="56"/>
  <c r="F75" i="56"/>
  <c r="AA74" i="56"/>
  <c r="G72" i="56"/>
  <c r="F72" i="56"/>
  <c r="G71" i="56"/>
  <c r="F71" i="56"/>
  <c r="G70" i="56"/>
  <c r="F70" i="56"/>
  <c r="R69" i="56"/>
  <c r="P69" i="56"/>
  <c r="Q69" i="56" s="1"/>
  <c r="O69" i="56"/>
  <c r="N69" i="56"/>
  <c r="H69" i="56"/>
  <c r="G69" i="56"/>
  <c r="T69" i="56" s="1"/>
  <c r="U69" i="56" s="1"/>
  <c r="V69" i="56" s="1"/>
  <c r="W69" i="56" s="1"/>
  <c r="F69" i="56"/>
  <c r="H68" i="56"/>
  <c r="G68" i="56"/>
  <c r="T68" i="56" s="1"/>
  <c r="U68" i="56" s="1"/>
  <c r="V68" i="56" s="1"/>
  <c r="F68" i="56"/>
  <c r="V67" i="56"/>
  <c r="W67" i="56" s="1"/>
  <c r="N67" i="56"/>
  <c r="O67" i="56" s="1"/>
  <c r="P67" i="56" s="1"/>
  <c r="H67" i="56"/>
  <c r="F67" i="56"/>
  <c r="G67" i="56" s="1"/>
  <c r="T67" i="56" s="1"/>
  <c r="U67" i="56" s="1"/>
  <c r="F66" i="56"/>
  <c r="F65" i="56"/>
  <c r="F64" i="56"/>
  <c r="F63" i="56"/>
  <c r="F58" i="56"/>
  <c r="K180" i="56" s="1"/>
  <c r="F57" i="56"/>
  <c r="F56" i="56"/>
  <c r="K178" i="56" s="1"/>
  <c r="B56" i="56"/>
  <c r="F55" i="56"/>
  <c r="B55" i="56"/>
  <c r="F54" i="56"/>
  <c r="F53" i="56"/>
  <c r="K175" i="56" s="1"/>
  <c r="C40" i="56"/>
  <c r="C47" i="56" s="1"/>
  <c r="C35" i="56"/>
  <c r="C58" i="56" s="1"/>
  <c r="B33" i="56"/>
  <c r="B32" i="56"/>
  <c r="B30" i="56"/>
  <c r="C104" i="56"/>
  <c r="C88" i="56" s="1"/>
  <c r="B40" i="56"/>
  <c r="B47" i="56" s="1"/>
  <c r="B36" i="56"/>
  <c r="B57" i="56"/>
  <c r="C99" i="56"/>
  <c r="C83" i="56" s="1"/>
  <c r="F19" i="56"/>
  <c r="F20" i="56" s="1"/>
  <c r="G20" i="56" s="1"/>
  <c r="H20" i="56" s="1"/>
  <c r="G18" i="56"/>
  <c r="O17" i="56"/>
  <c r="H17" i="56"/>
  <c r="G17" i="56"/>
  <c r="C96" i="56"/>
  <c r="C80" i="56" s="1"/>
  <c r="B53" i="56"/>
  <c r="P16" i="56"/>
  <c r="O16" i="56"/>
  <c r="G16" i="56"/>
  <c r="F16" i="56"/>
  <c r="F17" i="56" s="1"/>
  <c r="F18" i="56" s="1"/>
  <c r="C29" i="56"/>
  <c r="C52" i="56" s="1"/>
  <c r="U15" i="56"/>
  <c r="O15" i="56"/>
  <c r="N15" i="56"/>
  <c r="G15" i="56"/>
  <c r="X15" i="56" s="1"/>
  <c r="B51" i="56"/>
  <c r="F14" i="56"/>
  <c r="F15" i="56" s="1"/>
  <c r="C39" i="56"/>
  <c r="C46" i="56" s="1"/>
  <c r="B39" i="56"/>
  <c r="B46" i="56" s="1"/>
  <c r="W13" i="56"/>
  <c r="T13" i="56"/>
  <c r="Q13" i="56"/>
  <c r="P13" i="56"/>
  <c r="O13" i="56"/>
  <c r="N13" i="56"/>
  <c r="G13" i="56"/>
  <c r="X13" i="56" s="1"/>
  <c r="C92" i="56"/>
  <c r="C76" i="56" s="1"/>
  <c r="W12" i="56"/>
  <c r="V12" i="56"/>
  <c r="U12" i="56"/>
  <c r="T12" i="56"/>
  <c r="R12" i="56"/>
  <c r="X12" i="56" s="1"/>
  <c r="Q12" i="56"/>
  <c r="P12" i="56"/>
  <c r="O12" i="56"/>
  <c r="N12" i="56"/>
  <c r="L12" i="56"/>
  <c r="K12" i="56"/>
  <c r="J12" i="56"/>
  <c r="I12" i="56"/>
  <c r="H12" i="56"/>
  <c r="G12" i="56"/>
  <c r="F12" i="56"/>
  <c r="X4" i="56"/>
  <c r="W4" i="56"/>
  <c r="V4" i="56"/>
  <c r="U4" i="56"/>
  <c r="T4" i="56"/>
  <c r="A1" i="56"/>
  <c r="E78" i="32"/>
  <c r="G13" i="55"/>
  <c r="O13" i="55" s="1"/>
  <c r="G14" i="55"/>
  <c r="Q14" i="55" s="1"/>
  <c r="G15" i="55"/>
  <c r="K15" i="55" s="1"/>
  <c r="G16" i="55"/>
  <c r="Q16" i="55" s="1"/>
  <c r="G17" i="55"/>
  <c r="G18" i="55"/>
  <c r="G19" i="55"/>
  <c r="G20" i="55"/>
  <c r="G21" i="55"/>
  <c r="O21" i="55" s="1"/>
  <c r="G22" i="55"/>
  <c r="G12" i="55"/>
  <c r="K12" i="55" s="1"/>
  <c r="G10" i="55"/>
  <c r="L10" i="55" s="1"/>
  <c r="K13" i="55"/>
  <c r="L13" i="55"/>
  <c r="M13" i="55"/>
  <c r="N13" i="55"/>
  <c r="R13" i="55"/>
  <c r="S13" i="55"/>
  <c r="U13" i="55"/>
  <c r="V13" i="55"/>
  <c r="W13" i="55"/>
  <c r="X13" i="55"/>
  <c r="Y13" i="55"/>
  <c r="Z13" i="55"/>
  <c r="AD13" i="55"/>
  <c r="AE13" i="55"/>
  <c r="AG13" i="55"/>
  <c r="AH13" i="55"/>
  <c r="AI13" i="55"/>
  <c r="AJ13" i="55"/>
  <c r="AK13" i="55"/>
  <c r="AL13" i="55"/>
  <c r="M14" i="55"/>
  <c r="O14" i="55"/>
  <c r="P14" i="55"/>
  <c r="R14" i="55"/>
  <c r="S14" i="55"/>
  <c r="T14" i="55"/>
  <c r="Y14" i="55"/>
  <c r="AA14" i="55"/>
  <c r="AB14" i="55"/>
  <c r="AD14" i="55"/>
  <c r="AE14" i="55"/>
  <c r="AF14" i="55"/>
  <c r="AK14" i="55"/>
  <c r="AM14" i="55"/>
  <c r="AN14" i="55"/>
  <c r="L15" i="55"/>
  <c r="M15" i="55"/>
  <c r="N15" i="55"/>
  <c r="S15" i="55"/>
  <c r="U15" i="55"/>
  <c r="V15" i="55"/>
  <c r="X15" i="55"/>
  <c r="Y15" i="55"/>
  <c r="Z15" i="55"/>
  <c r="AE15" i="55"/>
  <c r="AG15" i="55"/>
  <c r="AH15" i="55"/>
  <c r="AJ15" i="55"/>
  <c r="AK15" i="55"/>
  <c r="AL15" i="55"/>
  <c r="M16" i="55"/>
  <c r="O16" i="55"/>
  <c r="P16" i="55"/>
  <c r="R16" i="55"/>
  <c r="S16" i="55"/>
  <c r="T16" i="55"/>
  <c r="Y16" i="55"/>
  <c r="AA16" i="55"/>
  <c r="AB16" i="55"/>
  <c r="AD16" i="55"/>
  <c r="AE16" i="55"/>
  <c r="AF16" i="55"/>
  <c r="AK16" i="55"/>
  <c r="AM16" i="55"/>
  <c r="AN16" i="55"/>
  <c r="K17" i="55"/>
  <c r="L17" i="55"/>
  <c r="M17" i="55"/>
  <c r="N17" i="55"/>
  <c r="O17" i="55"/>
  <c r="P17" i="55"/>
  <c r="Q17" i="55"/>
  <c r="R17" i="55"/>
  <c r="S17" i="55"/>
  <c r="T17" i="55"/>
  <c r="U17" i="55"/>
  <c r="V17" i="55"/>
  <c r="W17" i="55"/>
  <c r="X17" i="55"/>
  <c r="Y17" i="55"/>
  <c r="Z17" i="55"/>
  <c r="AA17" i="55"/>
  <c r="AB17" i="55"/>
  <c r="AC17" i="55"/>
  <c r="AD17" i="55"/>
  <c r="AE17" i="55"/>
  <c r="AF17" i="55"/>
  <c r="AG17" i="55"/>
  <c r="AH17" i="55"/>
  <c r="AI17" i="55"/>
  <c r="AJ17" i="55"/>
  <c r="AK17" i="55"/>
  <c r="AL17" i="55"/>
  <c r="AM17" i="55"/>
  <c r="AN17" i="55"/>
  <c r="K18" i="55"/>
  <c r="L18" i="55"/>
  <c r="M18" i="55"/>
  <c r="N18" i="55"/>
  <c r="O18" i="55"/>
  <c r="P18" i="55"/>
  <c r="Q18" i="55"/>
  <c r="R18" i="55"/>
  <c r="S18" i="55"/>
  <c r="T18" i="55"/>
  <c r="U18" i="55"/>
  <c r="V18" i="55"/>
  <c r="W18" i="55"/>
  <c r="X18" i="55"/>
  <c r="Y18" i="55"/>
  <c r="Z18" i="55"/>
  <c r="AA18" i="55"/>
  <c r="AB18" i="55"/>
  <c r="AC18" i="55"/>
  <c r="AD18" i="55"/>
  <c r="AE18" i="55"/>
  <c r="AF18" i="55"/>
  <c r="AG18" i="55"/>
  <c r="AH18" i="55"/>
  <c r="AI18" i="55"/>
  <c r="AJ18" i="55"/>
  <c r="AK18" i="55"/>
  <c r="AL18" i="55"/>
  <c r="AM18" i="55"/>
  <c r="AN18" i="55"/>
  <c r="K19" i="55"/>
  <c r="L19" i="55"/>
  <c r="M19" i="55"/>
  <c r="N19" i="55"/>
  <c r="O19" i="55"/>
  <c r="P19" i="55"/>
  <c r="Q19" i="55"/>
  <c r="R19" i="55"/>
  <c r="S19" i="55"/>
  <c r="T19" i="55"/>
  <c r="U19" i="55"/>
  <c r="V19" i="55"/>
  <c r="W19" i="55"/>
  <c r="X19" i="55"/>
  <c r="Y19" i="55"/>
  <c r="Z19" i="55"/>
  <c r="AA19" i="55"/>
  <c r="AB19" i="55"/>
  <c r="AC19" i="55"/>
  <c r="AD19" i="55"/>
  <c r="AE19" i="55"/>
  <c r="AF19" i="55"/>
  <c r="AG19" i="55"/>
  <c r="AH19" i="55"/>
  <c r="AI19" i="55"/>
  <c r="AJ19" i="55"/>
  <c r="AK19" i="55"/>
  <c r="AL19" i="55"/>
  <c r="AM19" i="55"/>
  <c r="AN19" i="55"/>
  <c r="K20" i="55"/>
  <c r="L20" i="55"/>
  <c r="M20" i="55"/>
  <c r="N20" i="55"/>
  <c r="O20" i="55"/>
  <c r="P20" i="55"/>
  <c r="Q20" i="55"/>
  <c r="R20" i="55"/>
  <c r="S20" i="55"/>
  <c r="T20" i="55"/>
  <c r="U20" i="55"/>
  <c r="V20" i="55"/>
  <c r="W20" i="55"/>
  <c r="X20" i="55"/>
  <c r="Y20" i="55"/>
  <c r="Z20" i="55"/>
  <c r="AA20" i="55"/>
  <c r="AB20" i="55"/>
  <c r="AC20" i="55"/>
  <c r="AD20" i="55"/>
  <c r="AE20" i="55"/>
  <c r="AF20" i="55"/>
  <c r="AG20" i="55"/>
  <c r="AH20" i="55"/>
  <c r="AI20" i="55"/>
  <c r="AJ20" i="55"/>
  <c r="AK20" i="55"/>
  <c r="AL20" i="55"/>
  <c r="AM20" i="55"/>
  <c r="AP20" i="55" s="1"/>
  <c r="AN20" i="55"/>
  <c r="K21" i="55"/>
  <c r="L21" i="55"/>
  <c r="M21" i="55"/>
  <c r="N21" i="55"/>
  <c r="S21" i="55"/>
  <c r="U21" i="55"/>
  <c r="V21" i="55"/>
  <c r="W21" i="55"/>
  <c r="X21" i="55"/>
  <c r="Y21" i="55"/>
  <c r="Z21" i="55"/>
  <c r="AE21" i="55"/>
  <c r="AG21" i="55"/>
  <c r="AH21" i="55"/>
  <c r="AI21" i="55"/>
  <c r="AJ21" i="55"/>
  <c r="AK21" i="55"/>
  <c r="AL21" i="55"/>
  <c r="K22" i="55"/>
  <c r="L22" i="55"/>
  <c r="M22" i="55"/>
  <c r="N22" i="55"/>
  <c r="O22" i="55"/>
  <c r="P22" i="55"/>
  <c r="Q22" i="55"/>
  <c r="R22" i="55"/>
  <c r="S22" i="55"/>
  <c r="T22" i="55"/>
  <c r="U22" i="55"/>
  <c r="V22" i="55"/>
  <c r="W22" i="55"/>
  <c r="X22" i="55"/>
  <c r="Y22" i="55"/>
  <c r="Z22" i="55"/>
  <c r="AA22" i="55"/>
  <c r="AB22" i="55"/>
  <c r="AC22" i="55"/>
  <c r="AD22" i="55"/>
  <c r="AE22" i="55"/>
  <c r="AF22" i="55"/>
  <c r="AG22" i="55"/>
  <c r="AH22" i="55"/>
  <c r="AI22" i="55"/>
  <c r="AJ22" i="55"/>
  <c r="AK22" i="55"/>
  <c r="AL22" i="55"/>
  <c r="AP22" i="55" s="1"/>
  <c r="AM22" i="55"/>
  <c r="AO22" i="55" s="1"/>
  <c r="AN22" i="55"/>
  <c r="AO18" i="55"/>
  <c r="J13" i="55"/>
  <c r="J14" i="55"/>
  <c r="J16" i="55"/>
  <c r="J17" i="55"/>
  <c r="J18" i="55"/>
  <c r="J19" i="55"/>
  <c r="J20" i="55"/>
  <c r="J21" i="55"/>
  <c r="J22" i="55"/>
  <c r="K9" i="55"/>
  <c r="L9" i="55"/>
  <c r="M9" i="55"/>
  <c r="N9" i="55"/>
  <c r="O9" i="55"/>
  <c r="P9" i="55"/>
  <c r="Q9" i="55"/>
  <c r="R9" i="55"/>
  <c r="S9" i="55"/>
  <c r="T9" i="55"/>
  <c r="U9" i="55"/>
  <c r="V9" i="55"/>
  <c r="W9" i="55"/>
  <c r="X9" i="55"/>
  <c r="Y9" i="55"/>
  <c r="Z9" i="55"/>
  <c r="AA9" i="55"/>
  <c r="AB9" i="55"/>
  <c r="AC9" i="55"/>
  <c r="AD9" i="55"/>
  <c r="AE9" i="55"/>
  <c r="AF9" i="55"/>
  <c r="AG9" i="55"/>
  <c r="AH9" i="55"/>
  <c r="AI9" i="55"/>
  <c r="AJ9" i="55"/>
  <c r="AK9" i="55"/>
  <c r="AL9" i="55"/>
  <c r="AM9" i="55"/>
  <c r="AN9" i="55"/>
  <c r="AO9" i="55" s="1"/>
  <c r="AP9" i="55" s="1"/>
  <c r="J9" i="55"/>
  <c r="I32" i="57" l="1"/>
  <c r="H35" i="57"/>
  <c r="K99" i="57"/>
  <c r="J84" i="57"/>
  <c r="K95" i="57"/>
  <c r="S15" i="57"/>
  <c r="E86" i="57"/>
  <c r="M15" i="57"/>
  <c r="V15" i="57"/>
  <c r="P15" i="57"/>
  <c r="F15" i="57"/>
  <c r="H9" i="56"/>
  <c r="E14" i="57"/>
  <c r="E81" i="57" s="1"/>
  <c r="I9" i="56"/>
  <c r="O9" i="56" s="1"/>
  <c r="U9" i="56" s="1"/>
  <c r="F14" i="57"/>
  <c r="K15" i="57"/>
  <c r="F8" i="56"/>
  <c r="J9" i="56"/>
  <c r="C28" i="56"/>
  <c r="C51" i="56" s="1"/>
  <c r="V13" i="57"/>
  <c r="G8" i="56"/>
  <c r="N8" i="56" s="1"/>
  <c r="T8" i="56" s="1"/>
  <c r="K9" i="56"/>
  <c r="B58" i="56"/>
  <c r="E13" i="57"/>
  <c r="E93" i="57" s="1"/>
  <c r="P32" i="57"/>
  <c r="J32" i="57" s="1"/>
  <c r="E56" i="57"/>
  <c r="K37" i="57"/>
  <c r="R67" i="56"/>
  <c r="Q67" i="56"/>
  <c r="W68" i="56"/>
  <c r="X68" i="56"/>
  <c r="N16" i="56"/>
  <c r="X16" i="56"/>
  <c r="V16" i="56"/>
  <c r="H16" i="56"/>
  <c r="T17" i="56"/>
  <c r="Q17" i="56"/>
  <c r="P17" i="56"/>
  <c r="N17" i="56"/>
  <c r="B54" i="56"/>
  <c r="B31" i="56"/>
  <c r="R20" i="56"/>
  <c r="W18" i="56"/>
  <c r="V18" i="56"/>
  <c r="H18" i="56"/>
  <c r="T18" i="56"/>
  <c r="X20" i="56"/>
  <c r="R8" i="56"/>
  <c r="X8" i="56" s="1"/>
  <c r="P8" i="56"/>
  <c r="V8" i="56" s="1"/>
  <c r="C97" i="56"/>
  <c r="C81" i="56" s="1"/>
  <c r="C31" i="56"/>
  <c r="C54" i="56" s="1"/>
  <c r="C98" i="56"/>
  <c r="C82" i="56" s="1"/>
  <c r="C32" i="56"/>
  <c r="C55" i="56" s="1"/>
  <c r="V20" i="56"/>
  <c r="C33" i="56"/>
  <c r="C56" i="56" s="1"/>
  <c r="B34" i="56"/>
  <c r="F52" i="56"/>
  <c r="G66" i="56"/>
  <c r="X67" i="56"/>
  <c r="AB75" i="56"/>
  <c r="U75" i="56"/>
  <c r="AH75" i="56" s="1"/>
  <c r="P9" i="56"/>
  <c r="V9" i="56" s="1"/>
  <c r="C100" i="56"/>
  <c r="C84" i="56" s="1"/>
  <c r="C34" i="56"/>
  <c r="C57" i="56" s="1"/>
  <c r="D27" i="56"/>
  <c r="N71" i="56"/>
  <c r="O71" i="56" s="1"/>
  <c r="P71" i="56" s="1"/>
  <c r="H71" i="56"/>
  <c r="T71" i="56"/>
  <c r="U71" i="56" s="1"/>
  <c r="V71" i="56" s="1"/>
  <c r="AE75" i="56"/>
  <c r="X75" i="56"/>
  <c r="AK75" i="56" s="1"/>
  <c r="L110" i="56"/>
  <c r="E47" i="57"/>
  <c r="O8" i="56"/>
  <c r="U8" i="56" s="1"/>
  <c r="Q9" i="56"/>
  <c r="W9" i="56" s="1"/>
  <c r="Q15" i="56"/>
  <c r="Q16" i="56"/>
  <c r="N18" i="56"/>
  <c r="F21" i="56"/>
  <c r="B28" i="56"/>
  <c r="C30" i="56"/>
  <c r="C53" i="56" s="1"/>
  <c r="C95" i="56"/>
  <c r="C79" i="56" s="1"/>
  <c r="M107" i="56"/>
  <c r="M108" i="56"/>
  <c r="N106" i="56"/>
  <c r="M109" i="56"/>
  <c r="G19" i="56"/>
  <c r="R16" i="56"/>
  <c r="O18" i="56"/>
  <c r="C102" i="56"/>
  <c r="C86" i="56" s="1"/>
  <c r="C36" i="56"/>
  <c r="C59" i="56" s="1"/>
  <c r="K177" i="56"/>
  <c r="F82" i="56"/>
  <c r="C93" i="56"/>
  <c r="C77" i="56" s="1"/>
  <c r="W20" i="56"/>
  <c r="U20" i="56"/>
  <c r="T20" i="56"/>
  <c r="Q20" i="56"/>
  <c r="Q8" i="56"/>
  <c r="W8" i="56" s="1"/>
  <c r="W15" i="56"/>
  <c r="T16" i="56"/>
  <c r="R17" i="56"/>
  <c r="P18" i="56"/>
  <c r="K179" i="56"/>
  <c r="G65" i="56"/>
  <c r="F51" i="56"/>
  <c r="X69" i="56"/>
  <c r="F88" i="56"/>
  <c r="N88" i="56"/>
  <c r="T88" i="56" s="1"/>
  <c r="G104" i="56"/>
  <c r="D4" i="56"/>
  <c r="U16" i="56"/>
  <c r="U17" i="56"/>
  <c r="Q18" i="56"/>
  <c r="B59" i="56"/>
  <c r="G63" i="56"/>
  <c r="F43" i="56"/>
  <c r="F84" i="56"/>
  <c r="F46" i="56"/>
  <c r="G64" i="56"/>
  <c r="G14" i="56"/>
  <c r="B52" i="56"/>
  <c r="B29" i="56"/>
  <c r="W16" i="56"/>
  <c r="V17" i="56"/>
  <c r="R18" i="56"/>
  <c r="N20" i="56"/>
  <c r="H70" i="56"/>
  <c r="T70" i="56"/>
  <c r="U70" i="56" s="1"/>
  <c r="V70" i="56" s="1"/>
  <c r="N70" i="56"/>
  <c r="O70" i="56" s="1"/>
  <c r="P70" i="56" s="1"/>
  <c r="N9" i="56"/>
  <c r="T9" i="56" s="1"/>
  <c r="V15" i="56"/>
  <c r="H15" i="56"/>
  <c r="T15" i="56"/>
  <c r="R15" i="56"/>
  <c r="P15" i="56"/>
  <c r="W17" i="56"/>
  <c r="U18" i="56"/>
  <c r="O20" i="56"/>
  <c r="K176" i="56"/>
  <c r="F81" i="56"/>
  <c r="H72" i="56"/>
  <c r="T72" i="56"/>
  <c r="U72" i="56" s="1"/>
  <c r="V72" i="56" s="1"/>
  <c r="N72" i="56"/>
  <c r="O72" i="56" s="1"/>
  <c r="P72" i="56" s="1"/>
  <c r="F87" i="56"/>
  <c r="C3" i="56"/>
  <c r="X17" i="56"/>
  <c r="X18" i="56"/>
  <c r="P20" i="56"/>
  <c r="R13" i="56"/>
  <c r="Q131" i="56"/>
  <c r="T169" i="56"/>
  <c r="U13" i="56"/>
  <c r="H13" i="56"/>
  <c r="V13" i="56"/>
  <c r="N68" i="56"/>
  <c r="O68" i="56" s="1"/>
  <c r="P68" i="56" s="1"/>
  <c r="W75" i="56"/>
  <c r="AJ75" i="56" s="1"/>
  <c r="F80" i="56"/>
  <c r="AX110" i="56"/>
  <c r="K109" i="56"/>
  <c r="K110" i="56" s="1"/>
  <c r="Y131" i="56"/>
  <c r="AK131" i="56"/>
  <c r="N131" i="56"/>
  <c r="Z131" i="56"/>
  <c r="AL131" i="56"/>
  <c r="AA131" i="56"/>
  <c r="AP131" i="56"/>
  <c r="U30" i="57"/>
  <c r="AI168" i="56"/>
  <c r="AI169" i="56" s="1"/>
  <c r="W168" i="56"/>
  <c r="K168" i="56"/>
  <c r="K169" i="56" s="1"/>
  <c r="AF168" i="56"/>
  <c r="AF169" i="56" s="1"/>
  <c r="T168" i="56"/>
  <c r="AP130" i="56"/>
  <c r="AD130" i="56"/>
  <c r="AD131" i="56" s="1"/>
  <c r="R130" i="56"/>
  <c r="R131" i="56" s="1"/>
  <c r="AQ168" i="56"/>
  <c r="AE168" i="56"/>
  <c r="S168" i="56"/>
  <c r="S169" i="56" s="1"/>
  <c r="AO130" i="56"/>
  <c r="AO131" i="56" s="1"/>
  <c r="AC130" i="56"/>
  <c r="AC131" i="56" s="1"/>
  <c r="Q130" i="56"/>
  <c r="AP168" i="56"/>
  <c r="AP169" i="56" s="1"/>
  <c r="AD168" i="56"/>
  <c r="AD169" i="56" s="1"/>
  <c r="R168" i="56"/>
  <c r="R169" i="56" s="1"/>
  <c r="AO168" i="56"/>
  <c r="AO169" i="56" s="1"/>
  <c r="AC168" i="56"/>
  <c r="AC169" i="56" s="1"/>
  <c r="Q168" i="56"/>
  <c r="Q169" i="56" s="1"/>
  <c r="AM130" i="56"/>
  <c r="AM131" i="56" s="1"/>
  <c r="AA130" i="56"/>
  <c r="O130" i="56"/>
  <c r="O131" i="56" s="1"/>
  <c r="AN168" i="56"/>
  <c r="AN169" i="56" s="1"/>
  <c r="AB168" i="56"/>
  <c r="AB169" i="56" s="1"/>
  <c r="P168" i="56"/>
  <c r="AL130" i="56"/>
  <c r="Z130" i="56"/>
  <c r="N130" i="56"/>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V169" i="56"/>
  <c r="AH169" i="56"/>
  <c r="S53" i="57"/>
  <c r="S76" i="57" s="1"/>
  <c r="M53" i="57"/>
  <c r="M76" i="57" s="1"/>
  <c r="T43" i="57"/>
  <c r="G68" i="57"/>
  <c r="M68" i="57"/>
  <c r="S68" i="57"/>
  <c r="T131" i="56"/>
  <c r="AG130" i="56"/>
  <c r="AG131" i="56" s="1"/>
  <c r="W169" i="56"/>
  <c r="N168" i="56"/>
  <c r="U131" i="56"/>
  <c r="L130" i="56"/>
  <c r="L131" i="56" s="1"/>
  <c r="AJ130" i="56"/>
  <c r="AJ131" i="56" s="1"/>
  <c r="O168" i="56"/>
  <c r="O169" i="56" s="1"/>
  <c r="M130" i="56"/>
  <c r="M131" i="56" s="1"/>
  <c r="AK130" i="56"/>
  <c r="U168" i="56"/>
  <c r="U169" i="56" s="1"/>
  <c r="E107" i="57"/>
  <c r="M25" i="57"/>
  <c r="P130" i="56"/>
  <c r="P131" i="56" s="1"/>
  <c r="AN130" i="56"/>
  <c r="AN131" i="56" s="1"/>
  <c r="N169" i="56"/>
  <c r="Z169" i="56"/>
  <c r="V168" i="56"/>
  <c r="AA169" i="56"/>
  <c r="AM169" i="56"/>
  <c r="Z168" i="56"/>
  <c r="P169" i="56"/>
  <c r="AG168" i="56"/>
  <c r="AG169" i="56" s="1"/>
  <c r="S41" i="57"/>
  <c r="N41" i="57"/>
  <c r="O38" i="57"/>
  <c r="P38" i="57" s="1"/>
  <c r="G38" i="57"/>
  <c r="Y130" i="56"/>
  <c r="AE169" i="56"/>
  <c r="AQ169" i="56"/>
  <c r="AL168" i="56"/>
  <c r="AL169" i="56" s="1"/>
  <c r="M86" i="57"/>
  <c r="M109" i="57"/>
  <c r="M101" i="57"/>
  <c r="S27" i="57"/>
  <c r="N27" i="57"/>
  <c r="F27" i="57"/>
  <c r="J16" i="57"/>
  <c r="Q21" i="57"/>
  <c r="G48" i="57"/>
  <c r="M48" i="57"/>
  <c r="N48" i="57" s="1"/>
  <c r="O48" i="57" s="1"/>
  <c r="I48" i="57" s="1"/>
  <c r="E82" i="57"/>
  <c r="E85" i="57" s="1"/>
  <c r="M36" i="57"/>
  <c r="M87" i="57"/>
  <c r="N43" i="57"/>
  <c r="H43" i="57" s="1"/>
  <c r="S48" i="57"/>
  <c r="T48" i="57" s="1"/>
  <c r="U48" i="57" s="1"/>
  <c r="G78" i="57"/>
  <c r="S78" i="57"/>
  <c r="Q103" i="57"/>
  <c r="Q104" i="57" s="1"/>
  <c r="P104" i="57"/>
  <c r="V93" i="57"/>
  <c r="V75" i="57"/>
  <c r="V16" i="57"/>
  <c r="M56" i="57"/>
  <c r="F56" i="57" s="1"/>
  <c r="C36" i="57"/>
  <c r="C42" i="57" s="1"/>
  <c r="C55" i="57"/>
  <c r="C109" i="57"/>
  <c r="C86" i="57"/>
  <c r="C101" i="57" s="1"/>
  <c r="C122" i="57" s="1"/>
  <c r="H73" i="57"/>
  <c r="N44" i="57"/>
  <c r="O44" i="57" s="1"/>
  <c r="S44" i="57"/>
  <c r="T44" i="57" s="1"/>
  <c r="U44" i="57" s="1"/>
  <c r="V44" i="57" s="1"/>
  <c r="W44" i="57" s="1"/>
  <c r="P16" i="57"/>
  <c r="S42" i="57"/>
  <c r="N42" i="57"/>
  <c r="C75" i="57"/>
  <c r="C93" i="57" s="1"/>
  <c r="C114" i="57" s="1"/>
  <c r="E55" i="57"/>
  <c r="O31" i="57"/>
  <c r="G31" i="57"/>
  <c r="F25" i="57"/>
  <c r="F31" i="57"/>
  <c r="S32" i="57"/>
  <c r="S87" i="57" s="1"/>
  <c r="S35" i="57"/>
  <c r="H79" i="57"/>
  <c r="K79" i="57"/>
  <c r="I83" i="57"/>
  <c r="I89" i="57"/>
  <c r="N30" i="57"/>
  <c r="H31" i="57"/>
  <c r="O35" i="57"/>
  <c r="F37" i="57"/>
  <c r="G43" i="57"/>
  <c r="J48" i="57"/>
  <c r="S73" i="57"/>
  <c r="T73" i="57" s="1"/>
  <c r="U73" i="57" s="1"/>
  <c r="V73" i="57" s="1"/>
  <c r="W73" i="57" s="1"/>
  <c r="M73" i="57"/>
  <c r="N73" i="57" s="1"/>
  <c r="O73" i="57" s="1"/>
  <c r="P73" i="57" s="1"/>
  <c r="Q73" i="57" s="1"/>
  <c r="G73" i="57"/>
  <c r="B27" i="57"/>
  <c r="I31" i="57"/>
  <c r="F32" i="57"/>
  <c r="G37" i="57"/>
  <c r="G94" i="57"/>
  <c r="G96" i="57" s="1"/>
  <c r="S94" i="57"/>
  <c r="S96" i="57" s="1"/>
  <c r="F96" i="57"/>
  <c r="I134" i="57"/>
  <c r="H143" i="57"/>
  <c r="K139" i="57"/>
  <c r="I139" i="57"/>
  <c r="H103" i="57"/>
  <c r="H99" i="57"/>
  <c r="K94" i="57"/>
  <c r="K96" i="57" s="1"/>
  <c r="J89" i="57"/>
  <c r="J83" i="57"/>
  <c r="H78" i="57"/>
  <c r="I73" i="57"/>
  <c r="J95" i="57"/>
  <c r="I84" i="57"/>
  <c r="H134" i="57"/>
  <c r="K102" i="57"/>
  <c r="H95" i="57"/>
  <c r="J102" i="57"/>
  <c r="K98" i="57"/>
  <c r="I102" i="57"/>
  <c r="J98" i="57"/>
  <c r="J100" i="57" s="1"/>
  <c r="K88" i="57"/>
  <c r="J139" i="57"/>
  <c r="J103" i="57"/>
  <c r="J99" i="57"/>
  <c r="H98" i="57"/>
  <c r="K103" i="57"/>
  <c r="I98" i="57"/>
  <c r="H89" i="57"/>
  <c r="H83" i="57"/>
  <c r="K78" i="57"/>
  <c r="F44" i="57"/>
  <c r="J37" i="57"/>
  <c r="I95" i="57"/>
  <c r="K84" i="57"/>
  <c r="H102" i="57"/>
  <c r="H104" i="57" s="1"/>
  <c r="I99" i="57"/>
  <c r="J88" i="57"/>
  <c r="H84" i="57"/>
  <c r="J79" i="57"/>
  <c r="K48" i="57"/>
  <c r="F43" i="57"/>
  <c r="F41" i="57"/>
  <c r="I88" i="57"/>
  <c r="I79" i="57"/>
  <c r="K73" i="57"/>
  <c r="I94" i="57"/>
  <c r="H94" i="57"/>
  <c r="K89" i="57"/>
  <c r="K83" i="57"/>
  <c r="G32" i="57"/>
  <c r="H37" i="57"/>
  <c r="G44" i="57"/>
  <c r="S64" i="57"/>
  <c r="M64" i="57"/>
  <c r="M67" i="57"/>
  <c r="N67" i="57" s="1"/>
  <c r="O67" i="57" s="1"/>
  <c r="P67" i="57" s="1"/>
  <c r="G67" i="57"/>
  <c r="J73" i="57"/>
  <c r="J94" i="57"/>
  <c r="S31" i="57"/>
  <c r="H32" i="57"/>
  <c r="I37" i="57"/>
  <c r="F38" i="57"/>
  <c r="H44" i="57"/>
  <c r="G64" i="57"/>
  <c r="F70" i="57"/>
  <c r="E69" i="57"/>
  <c r="F69" i="57" s="1"/>
  <c r="M94" i="57"/>
  <c r="M96" i="57" s="1"/>
  <c r="I103" i="57"/>
  <c r="F139" i="57"/>
  <c r="G27" i="57"/>
  <c r="F35" i="57"/>
  <c r="H38" i="57"/>
  <c r="S40" i="57"/>
  <c r="M40" i="57"/>
  <c r="G41" i="57"/>
  <c r="I78" i="57"/>
  <c r="G88" i="57"/>
  <c r="S88" i="57"/>
  <c r="O134" i="57"/>
  <c r="J231" i="57"/>
  <c r="H27" i="57"/>
  <c r="F30" i="57"/>
  <c r="G35" i="57"/>
  <c r="H41" i="57"/>
  <c r="E50" i="57"/>
  <c r="J78" i="57"/>
  <c r="H88" i="57"/>
  <c r="S99" i="57"/>
  <c r="S100" i="57" s="1"/>
  <c r="M99" i="57"/>
  <c r="M100" i="57" s="1"/>
  <c r="F100" i="57"/>
  <c r="G99" i="57"/>
  <c r="G100" i="57" s="1"/>
  <c r="I35" i="57"/>
  <c r="F36" i="57"/>
  <c r="F42" i="57"/>
  <c r="F82" i="57" s="1"/>
  <c r="F85" i="57" s="1"/>
  <c r="S67" i="57"/>
  <c r="T67" i="57" s="1"/>
  <c r="U67" i="57" s="1"/>
  <c r="V67" i="57" s="1"/>
  <c r="W67" i="57" s="1"/>
  <c r="S102" i="57"/>
  <c r="M102" i="57"/>
  <c r="F104" i="57"/>
  <c r="G102" i="57"/>
  <c r="G104" i="57" s="1"/>
  <c r="M26" i="57"/>
  <c r="E109" i="57"/>
  <c r="E101" i="57"/>
  <c r="E123" i="57" s="1"/>
  <c r="S138" i="57"/>
  <c r="M138" i="57"/>
  <c r="G138" i="57"/>
  <c r="S103" i="57"/>
  <c r="M103" i="57"/>
  <c r="T134" i="57"/>
  <c r="E144" i="57"/>
  <c r="F144" i="57" s="1"/>
  <c r="BH202" i="57"/>
  <c r="BG200" i="57"/>
  <c r="BG214" i="57"/>
  <c r="L186" i="57"/>
  <c r="F165" i="57"/>
  <c r="G143" i="57"/>
  <c r="G165" i="57" s="1"/>
  <c r="S143" i="57"/>
  <c r="T143" i="57" s="1"/>
  <c r="U143" i="57" s="1"/>
  <c r="V143" i="57" s="1"/>
  <c r="W143" i="57" s="1"/>
  <c r="F142" i="57"/>
  <c r="BG215" i="57"/>
  <c r="BG201" i="57"/>
  <c r="BH201" i="57" s="1"/>
  <c r="L187" i="57"/>
  <c r="BH200" i="57"/>
  <c r="M143" i="57"/>
  <c r="N143" i="57" s="1"/>
  <c r="O143" i="57" s="1"/>
  <c r="P143" i="57" s="1"/>
  <c r="Q143" i="57" s="1"/>
  <c r="K143" i="57" s="1"/>
  <c r="L188" i="57"/>
  <c r="BG216" i="57"/>
  <c r="BG202" i="57"/>
  <c r="BD244" i="57"/>
  <c r="BE244" i="57"/>
  <c r="BE247" i="57" s="1"/>
  <c r="K244" i="57"/>
  <c r="M133" i="57"/>
  <c r="BH217" i="57"/>
  <c r="BH214" i="57"/>
  <c r="BH215" i="57"/>
  <c r="BH216" i="57"/>
  <c r="BG217" i="57"/>
  <c r="BG203" i="57"/>
  <c r="BH203" i="57" s="1"/>
  <c r="K198" i="57"/>
  <c r="M197" i="57"/>
  <c r="M211" i="57"/>
  <c r="M210" i="57"/>
  <c r="N209" i="57"/>
  <c r="M196" i="57"/>
  <c r="BE246" i="57"/>
  <c r="BD246" i="57"/>
  <c r="K199" i="57"/>
  <c r="L211" i="57"/>
  <c r="D211" i="57"/>
  <c r="E211" i="57"/>
  <c r="M198" i="57" s="1"/>
  <c r="L244" i="57"/>
  <c r="L254" i="57"/>
  <c r="L245" i="57"/>
  <c r="K225" i="57"/>
  <c r="J210" i="57"/>
  <c r="F211" i="57"/>
  <c r="L212" i="57" s="1"/>
  <c r="L213" i="57" s="1"/>
  <c r="M246" i="57"/>
  <c r="M245" i="57"/>
  <c r="M244" i="57"/>
  <c r="M227" i="57"/>
  <c r="L223" i="57"/>
  <c r="G211" i="57"/>
  <c r="I211" i="57"/>
  <c r="AM211" i="57"/>
  <c r="J223" i="57"/>
  <c r="M254" i="57"/>
  <c r="AN211" i="57"/>
  <c r="K223" i="57"/>
  <c r="K224" i="57"/>
  <c r="D224" i="57"/>
  <c r="BE245" i="57"/>
  <c r="K245" i="57"/>
  <c r="J15" i="55"/>
  <c r="AF21" i="55"/>
  <c r="T21" i="55"/>
  <c r="AO20" i="55"/>
  <c r="AL16" i="55"/>
  <c r="AO16" i="55" s="1"/>
  <c r="Z16" i="55"/>
  <c r="N16" i="55"/>
  <c r="AF15" i="55"/>
  <c r="T15" i="55"/>
  <c r="AL14" i="55"/>
  <c r="Z14" i="55"/>
  <c r="N14" i="55"/>
  <c r="AF13" i="55"/>
  <c r="T13" i="55"/>
  <c r="R21" i="55"/>
  <c r="AJ16" i="55"/>
  <c r="X16" i="55"/>
  <c r="L16" i="55"/>
  <c r="AD15" i="55"/>
  <c r="R15" i="55"/>
  <c r="AJ14" i="55"/>
  <c r="X14" i="55"/>
  <c r="L14" i="55"/>
  <c r="AD21" i="55"/>
  <c r="AC21" i="55"/>
  <c r="Q21" i="55"/>
  <c r="AI16" i="55"/>
  <c r="W16" i="55"/>
  <c r="K16" i="55"/>
  <c r="AC15" i="55"/>
  <c r="Q15" i="55"/>
  <c r="AI14" i="55"/>
  <c r="W14" i="55"/>
  <c r="K14" i="55"/>
  <c r="AC13" i="55"/>
  <c r="Q13" i="55"/>
  <c r="AN21" i="55"/>
  <c r="AB21" i="55"/>
  <c r="P21" i="55"/>
  <c r="AP19" i="55"/>
  <c r="AH16" i="55"/>
  <c r="V16" i="55"/>
  <c r="AN15" i="55"/>
  <c r="AO15" i="55" s="1"/>
  <c r="AB15" i="55"/>
  <c r="P15" i="55"/>
  <c r="AH14" i="55"/>
  <c r="V14" i="55"/>
  <c r="AN13" i="55"/>
  <c r="AB13" i="55"/>
  <c r="P13" i="55"/>
  <c r="AM21" i="55"/>
  <c r="AA21" i="55"/>
  <c r="AO19" i="55"/>
  <c r="AO17" i="55"/>
  <c r="AG16" i="55"/>
  <c r="U16" i="55"/>
  <c r="AM15" i="55"/>
  <c r="AA15" i="55"/>
  <c r="O15" i="55"/>
  <c r="AG14" i="55"/>
  <c r="U14" i="55"/>
  <c r="AM13" i="55"/>
  <c r="AA13" i="55"/>
  <c r="AC16" i="55"/>
  <c r="AI15" i="55"/>
  <c r="W15" i="55"/>
  <c r="AC14" i="55"/>
  <c r="AF12" i="55"/>
  <c r="T12" i="55"/>
  <c r="AE12" i="55"/>
  <c r="S12" i="55"/>
  <c r="P12" i="55"/>
  <c r="AM12" i="55"/>
  <c r="AA12" i="55"/>
  <c r="O12" i="55"/>
  <c r="V12" i="55"/>
  <c r="U12" i="55"/>
  <c r="Q12" i="55"/>
  <c r="AB12" i="55"/>
  <c r="AL12" i="55"/>
  <c r="AO12" i="55" s="1"/>
  <c r="Z12" i="55"/>
  <c r="N12" i="55"/>
  <c r="AH12" i="55"/>
  <c r="AG12" i="55"/>
  <c r="AD12" i="55"/>
  <c r="AC12" i="55"/>
  <c r="AN12" i="55"/>
  <c r="J12" i="55"/>
  <c r="AK12" i="55"/>
  <c r="Y12" i="55"/>
  <c r="M12" i="55"/>
  <c r="R12" i="55"/>
  <c r="AJ12" i="55"/>
  <c r="X12" i="55"/>
  <c r="L12" i="55"/>
  <c r="AI12" i="55"/>
  <c r="W12" i="55"/>
  <c r="X10" i="55"/>
  <c r="K10" i="55"/>
  <c r="AH10" i="55"/>
  <c r="V10" i="55"/>
  <c r="AG10" i="55"/>
  <c r="U10" i="55"/>
  <c r="AF10" i="55"/>
  <c r="T10" i="55"/>
  <c r="AE10" i="55"/>
  <c r="S10" i="55"/>
  <c r="AI10" i="55"/>
  <c r="R10" i="55"/>
  <c r="Q10" i="55"/>
  <c r="AN10" i="55"/>
  <c r="AB10" i="55"/>
  <c r="P10" i="55"/>
  <c r="J10" i="55"/>
  <c r="O10" i="55"/>
  <c r="AL10" i="55"/>
  <c r="Z10" i="55"/>
  <c r="N10" i="55"/>
  <c r="AJ10" i="55"/>
  <c r="W10" i="55"/>
  <c r="AD10" i="55"/>
  <c r="AC10" i="55"/>
  <c r="AM10" i="55"/>
  <c r="AA10" i="55"/>
  <c r="AK10" i="55"/>
  <c r="Y10" i="55"/>
  <c r="M10" i="55"/>
  <c r="AP17" i="55"/>
  <c r="AP16" i="55"/>
  <c r="AP21" i="55"/>
  <c r="AP18" i="55"/>
  <c r="AP15" i="55"/>
  <c r="E121" i="57" l="1"/>
  <c r="K100" i="57"/>
  <c r="E97" i="57"/>
  <c r="E120" i="57" s="1"/>
  <c r="E54" i="57"/>
  <c r="M13" i="57"/>
  <c r="S13" i="57"/>
  <c r="S16" i="57" s="1"/>
  <c r="S14" i="57"/>
  <c r="M14" i="57"/>
  <c r="M55" i="57" s="1"/>
  <c r="F55" i="57" s="1"/>
  <c r="E75" i="57"/>
  <c r="E117" i="57" s="1"/>
  <c r="E16" i="57"/>
  <c r="Q32" i="57"/>
  <c r="K32" i="57" s="1"/>
  <c r="H100" i="57"/>
  <c r="E108" i="57"/>
  <c r="M199" i="57"/>
  <c r="K226" i="57"/>
  <c r="T35" i="57"/>
  <c r="O13" i="57"/>
  <c r="I16" i="57"/>
  <c r="U13" i="57"/>
  <c r="O42" i="57"/>
  <c r="G42" i="57"/>
  <c r="F86" i="57"/>
  <c r="F109" i="57"/>
  <c r="F101" i="57"/>
  <c r="M107" i="57"/>
  <c r="M75" i="57"/>
  <c r="M115" i="57" s="1"/>
  <c r="M93" i="57"/>
  <c r="S25" i="57"/>
  <c r="N25" i="57"/>
  <c r="X72" i="56"/>
  <c r="W72" i="56"/>
  <c r="H63" i="56"/>
  <c r="N63" i="56"/>
  <c r="O63" i="56" s="1"/>
  <c r="P63" i="56" s="1"/>
  <c r="T63" i="56"/>
  <c r="U63" i="56" s="1"/>
  <c r="V63" i="56" s="1"/>
  <c r="T65" i="56"/>
  <c r="U65" i="56" s="1"/>
  <c r="V65" i="56" s="1"/>
  <c r="N65" i="56"/>
  <c r="O65" i="56" s="1"/>
  <c r="P65" i="56" s="1"/>
  <c r="H65" i="56"/>
  <c r="I47" i="57"/>
  <c r="P7" i="56"/>
  <c r="E125" i="57"/>
  <c r="N138" i="57"/>
  <c r="M137" i="57"/>
  <c r="M139" i="57"/>
  <c r="G139" i="57"/>
  <c r="S139" i="57"/>
  <c r="J96" i="57"/>
  <c r="I100" i="57"/>
  <c r="J104" i="57"/>
  <c r="U14" i="57"/>
  <c r="O14" i="57"/>
  <c r="M82" i="57"/>
  <c r="M85" i="57" s="1"/>
  <c r="S36" i="57"/>
  <c r="T36" i="57" s="1"/>
  <c r="U36" i="57" s="1"/>
  <c r="V36" i="57" s="1"/>
  <c r="W36" i="57" s="1"/>
  <c r="N36" i="57"/>
  <c r="O27" i="57"/>
  <c r="N56" i="57"/>
  <c r="Q19" i="56"/>
  <c r="O19" i="56"/>
  <c r="N19" i="56"/>
  <c r="U19" i="56"/>
  <c r="T19" i="56"/>
  <c r="R19" i="56"/>
  <c r="P19" i="56"/>
  <c r="J19" i="56" s="1"/>
  <c r="X19" i="56"/>
  <c r="H19" i="56"/>
  <c r="W19" i="56"/>
  <c r="V19" i="56"/>
  <c r="S82" i="57"/>
  <c r="S85" i="57" s="1"/>
  <c r="T42" i="57"/>
  <c r="S109" i="57"/>
  <c r="S101" i="57"/>
  <c r="S86" i="57"/>
  <c r="T27" i="57"/>
  <c r="X71" i="56"/>
  <c r="W71" i="56"/>
  <c r="H66" i="56"/>
  <c r="T66" i="56"/>
  <c r="U66" i="56" s="1"/>
  <c r="V66" i="56" s="1"/>
  <c r="N66" i="56"/>
  <c r="O66" i="56" s="1"/>
  <c r="P66" i="56" s="1"/>
  <c r="J226" i="57"/>
  <c r="E124" i="57"/>
  <c r="F87" i="57"/>
  <c r="F90" i="57" s="1"/>
  <c r="W14" i="57"/>
  <c r="Q14" i="57"/>
  <c r="T14" i="57"/>
  <c r="N14" i="57"/>
  <c r="E111" i="57"/>
  <c r="D250" i="57" s="1"/>
  <c r="K257" i="57" s="1"/>
  <c r="U43" i="57"/>
  <c r="V30" i="57"/>
  <c r="U54" i="57"/>
  <c r="K174" i="56"/>
  <c r="F79" i="56"/>
  <c r="T138" i="57"/>
  <c r="S137" i="57"/>
  <c r="H109" i="57"/>
  <c r="H86" i="57"/>
  <c r="H101" i="57"/>
  <c r="F77" i="57"/>
  <c r="F80" i="57" s="1"/>
  <c r="S69" i="57"/>
  <c r="G69" i="57"/>
  <c r="M69" i="57"/>
  <c r="M124" i="57" s="1"/>
  <c r="Q67" i="57"/>
  <c r="K67" i="57" s="1"/>
  <c r="J67" i="57"/>
  <c r="M54" i="57"/>
  <c r="Q15" i="57"/>
  <c r="W15" i="57"/>
  <c r="N15" i="57"/>
  <c r="N86" i="57" s="1"/>
  <c r="T15" i="57"/>
  <c r="O106" i="56"/>
  <c r="N108" i="56"/>
  <c r="N107" i="56"/>
  <c r="N109" i="56"/>
  <c r="N133" i="57"/>
  <c r="M132" i="57"/>
  <c r="P134" i="57"/>
  <c r="G77" i="57"/>
  <c r="G80" i="57" s="1"/>
  <c r="M70" i="57"/>
  <c r="N70" i="57" s="1"/>
  <c r="S70" i="57"/>
  <c r="T70" i="57" s="1"/>
  <c r="G70" i="57"/>
  <c r="M123" i="57"/>
  <c r="N64" i="57"/>
  <c r="I96" i="57"/>
  <c r="K16" i="57"/>
  <c r="W13" i="57"/>
  <c r="Q13" i="57"/>
  <c r="H16" i="57"/>
  <c r="T13" i="57"/>
  <c r="N13" i="57"/>
  <c r="I70" i="56"/>
  <c r="L67" i="56"/>
  <c r="J65" i="56"/>
  <c r="J72" i="56"/>
  <c r="K67" i="56"/>
  <c r="I65" i="56"/>
  <c r="K69" i="56"/>
  <c r="I67" i="56"/>
  <c r="K71" i="56"/>
  <c r="I69" i="56"/>
  <c r="I20" i="56"/>
  <c r="K18" i="56"/>
  <c r="J13" i="56"/>
  <c r="J71" i="56"/>
  <c r="I64" i="56"/>
  <c r="I71" i="56"/>
  <c r="L68" i="56"/>
  <c r="I18" i="56"/>
  <c r="K16" i="56"/>
  <c r="J16" i="56"/>
  <c r="L14" i="56"/>
  <c r="I68" i="56"/>
  <c r="J63" i="56"/>
  <c r="K19" i="56"/>
  <c r="J14" i="56"/>
  <c r="I72" i="56"/>
  <c r="I15" i="56"/>
  <c r="I14" i="56"/>
  <c r="L13" i="56"/>
  <c r="J70" i="56"/>
  <c r="K13" i="56"/>
  <c r="L69" i="56"/>
  <c r="L16" i="56"/>
  <c r="J67" i="56"/>
  <c r="I13" i="56"/>
  <c r="J18" i="56"/>
  <c r="L20" i="56"/>
  <c r="K20" i="56"/>
  <c r="L19" i="56"/>
  <c r="J20" i="56"/>
  <c r="I17" i="56"/>
  <c r="J68" i="56"/>
  <c r="I19" i="56"/>
  <c r="L17" i="56"/>
  <c r="L15" i="56"/>
  <c r="L18" i="56"/>
  <c r="K17" i="56"/>
  <c r="J69" i="56"/>
  <c r="I16" i="56"/>
  <c r="K15" i="56"/>
  <c r="J17" i="56"/>
  <c r="J15" i="56"/>
  <c r="K14" i="56"/>
  <c r="J47" i="57"/>
  <c r="Q7" i="56"/>
  <c r="K200" i="57"/>
  <c r="K201" i="57"/>
  <c r="K202" i="57"/>
  <c r="K203" i="57"/>
  <c r="O30" i="57"/>
  <c r="G30" i="57"/>
  <c r="T32" i="57"/>
  <c r="T87" i="57" s="1"/>
  <c r="T90" i="57" s="1"/>
  <c r="S56" i="57"/>
  <c r="Q38" i="57"/>
  <c r="K38" i="57" s="1"/>
  <c r="J38" i="57"/>
  <c r="I67" i="57"/>
  <c r="K104" i="57"/>
  <c r="P14" i="56"/>
  <c r="N14" i="56"/>
  <c r="X14" i="56"/>
  <c r="H14" i="56"/>
  <c r="T14" i="56"/>
  <c r="Q14" i="56"/>
  <c r="V14" i="56"/>
  <c r="W14" i="56"/>
  <c r="R14" i="56"/>
  <c r="U14" i="56"/>
  <c r="O14" i="56"/>
  <c r="Q71" i="56"/>
  <c r="R71" i="56"/>
  <c r="L71" i="56" s="1"/>
  <c r="H67" i="57"/>
  <c r="T31" i="57"/>
  <c r="S124" i="57"/>
  <c r="S123" i="57"/>
  <c r="T64" i="57"/>
  <c r="I143" i="57"/>
  <c r="P44" i="57"/>
  <c r="I44" i="57"/>
  <c r="N77" i="57"/>
  <c r="N80" i="57" s="1"/>
  <c r="O41" i="57"/>
  <c r="Q70" i="56"/>
  <c r="K70" i="56" s="1"/>
  <c r="R70" i="56"/>
  <c r="L70" i="56" s="1"/>
  <c r="H104" i="56"/>
  <c r="H88" i="56" s="1"/>
  <c r="G88" i="56"/>
  <c r="M110" i="56"/>
  <c r="W70" i="56"/>
  <c r="X70" i="56"/>
  <c r="H64" i="56"/>
  <c r="T64" i="56"/>
  <c r="U64" i="56" s="1"/>
  <c r="V64" i="56" s="1"/>
  <c r="N64" i="56"/>
  <c r="O64" i="56" s="1"/>
  <c r="P64" i="56" s="1"/>
  <c r="S26" i="57"/>
  <c r="M81" i="57"/>
  <c r="M97" i="57"/>
  <c r="N26" i="57"/>
  <c r="F26" i="57"/>
  <c r="E51" i="57"/>
  <c r="E110" i="57"/>
  <c r="Q68" i="56"/>
  <c r="K68" i="56" s="1"/>
  <c r="R68" i="56"/>
  <c r="F47" i="57"/>
  <c r="F49" i="57" s="1"/>
  <c r="N7" i="56"/>
  <c r="K247" i="57"/>
  <c r="F107" i="57"/>
  <c r="F93" i="57"/>
  <c r="F75" i="57"/>
  <c r="L226" i="57"/>
  <c r="K172" i="56"/>
  <c r="F48" i="56"/>
  <c r="F39" i="56" s="1"/>
  <c r="N39" i="56" s="1"/>
  <c r="F77" i="56"/>
  <c r="J225" i="57"/>
  <c r="AO212" i="57"/>
  <c r="AO213" i="57" s="1"/>
  <c r="AM198" i="57"/>
  <c r="AM199" i="57" s="1"/>
  <c r="BG212" i="57"/>
  <c r="BG213" i="57" s="1"/>
  <c r="AP212" i="57"/>
  <c r="AP213" i="57" s="1"/>
  <c r="AN212" i="57"/>
  <c r="AN213" i="57" s="1"/>
  <c r="K212" i="57"/>
  <c r="K213" i="57" s="1"/>
  <c r="AM212" i="57"/>
  <c r="AM213" i="57" s="1"/>
  <c r="J212" i="57"/>
  <c r="J213" i="57" s="1"/>
  <c r="AP198" i="57"/>
  <c r="AP199" i="57" s="1"/>
  <c r="J198" i="57"/>
  <c r="J199" i="57" s="1"/>
  <c r="BG198" i="57"/>
  <c r="BG199" i="57" s="1"/>
  <c r="AN198" i="57"/>
  <c r="AN199" i="57" s="1"/>
  <c r="L198" i="57"/>
  <c r="L199" i="57" s="1"/>
  <c r="AO198" i="57"/>
  <c r="AO199" i="57" s="1"/>
  <c r="M144" i="57"/>
  <c r="N144" i="57" s="1"/>
  <c r="S144" i="57"/>
  <c r="T144" i="57" s="1"/>
  <c r="U144" i="57" s="1"/>
  <c r="V144" i="57" s="1"/>
  <c r="W144" i="57" s="1"/>
  <c r="G144" i="57"/>
  <c r="H42" i="57"/>
  <c r="H47" i="57"/>
  <c r="G47" i="57"/>
  <c r="O7" i="56"/>
  <c r="G87" i="57"/>
  <c r="G90" i="57" s="1"/>
  <c r="T41" i="57"/>
  <c r="S77" i="57"/>
  <c r="S80" i="57" s="1"/>
  <c r="H30" i="57"/>
  <c r="H48" i="57"/>
  <c r="M77" i="57"/>
  <c r="M80" i="57" s="1"/>
  <c r="M117" i="57" s="1"/>
  <c r="K47" i="57"/>
  <c r="R7" i="56"/>
  <c r="D245" i="57"/>
  <c r="K246" i="57" s="1"/>
  <c r="AW225" i="57"/>
  <c r="AW226" i="57" s="1"/>
  <c r="AX225" i="57"/>
  <c r="AX226" i="57" s="1"/>
  <c r="L246" i="57"/>
  <c r="L247" i="57" s="1"/>
  <c r="L225" i="57"/>
  <c r="N244" i="57"/>
  <c r="N254" i="57"/>
  <c r="N245" i="57"/>
  <c r="N246" i="57"/>
  <c r="M225" i="57"/>
  <c r="N227" i="57"/>
  <c r="M223" i="57"/>
  <c r="M224" i="57"/>
  <c r="N212" i="57"/>
  <c r="N211" i="57"/>
  <c r="O209" i="57"/>
  <c r="N210" i="57"/>
  <c r="N197" i="57"/>
  <c r="N196" i="57"/>
  <c r="N198" i="57"/>
  <c r="BD247" i="57"/>
  <c r="G142" i="57"/>
  <c r="G164" i="57" s="1"/>
  <c r="M142" i="57"/>
  <c r="N142" i="57" s="1"/>
  <c r="S142" i="57"/>
  <c r="T142" i="57" s="1"/>
  <c r="U142" i="57" s="1"/>
  <c r="V142" i="57" s="1"/>
  <c r="W142" i="57" s="1"/>
  <c r="F164" i="57"/>
  <c r="H96" i="57"/>
  <c r="I104" i="57"/>
  <c r="F16" i="57"/>
  <c r="M247" i="57"/>
  <c r="M212" i="57"/>
  <c r="M213" i="57" s="1"/>
  <c r="U134" i="57"/>
  <c r="T132" i="57"/>
  <c r="M104" i="57"/>
  <c r="J143" i="57"/>
  <c r="P31" i="57"/>
  <c r="L120" i="56"/>
  <c r="K141" i="56" s="1"/>
  <c r="L123" i="56"/>
  <c r="K144" i="56" s="1"/>
  <c r="L183" i="56" s="1"/>
  <c r="L115" i="56"/>
  <c r="K136" i="56" s="1"/>
  <c r="L114" i="56"/>
  <c r="K135" i="56" s="1"/>
  <c r="L113" i="56"/>
  <c r="K134" i="56" s="1"/>
  <c r="L112" i="56"/>
  <c r="K133" i="56" s="1"/>
  <c r="L111" i="56"/>
  <c r="K132" i="56" s="1"/>
  <c r="L119" i="56"/>
  <c r="K140" i="56" s="1"/>
  <c r="L116" i="56"/>
  <c r="K137" i="56" s="1"/>
  <c r="L118" i="56"/>
  <c r="K139" i="56" s="1"/>
  <c r="L117" i="56"/>
  <c r="K138" i="56" s="1"/>
  <c r="S104" i="57"/>
  <c r="I38" i="57"/>
  <c r="G101" i="57"/>
  <c r="G86" i="57"/>
  <c r="G123" i="57" s="1"/>
  <c r="G109" i="57"/>
  <c r="P35" i="57"/>
  <c r="O15" i="57"/>
  <c r="U15" i="57"/>
  <c r="C108" i="57"/>
  <c r="C81" i="57"/>
  <c r="C97" i="57" s="1"/>
  <c r="C118" i="57" s="1"/>
  <c r="N87" i="57"/>
  <c r="N90" i="57" s="1"/>
  <c r="O43" i="57"/>
  <c r="E45" i="57"/>
  <c r="E58" i="57"/>
  <c r="E61" i="57" s="1"/>
  <c r="R72" i="56"/>
  <c r="L72" i="56" s="1"/>
  <c r="Q72" i="56"/>
  <c r="K72" i="56" s="1"/>
  <c r="K171" i="56"/>
  <c r="G43" i="56"/>
  <c r="N171" i="56" s="1"/>
  <c r="F76" i="56"/>
  <c r="K173" i="56"/>
  <c r="F78" i="56"/>
  <c r="F60" i="56"/>
  <c r="F28" i="56"/>
  <c r="G28" i="56" s="1"/>
  <c r="F22" i="56"/>
  <c r="G21" i="56"/>
  <c r="AP14" i="55"/>
  <c r="AO14" i="55"/>
  <c r="AO21" i="55"/>
  <c r="AP13" i="55"/>
  <c r="AO13" i="55"/>
  <c r="AP12" i="55"/>
  <c r="AO10" i="55"/>
  <c r="AP10" i="55"/>
  <c r="E116" i="57" l="1"/>
  <c r="E128" i="57" s="1"/>
  <c r="M108" i="57"/>
  <c r="M16" i="57"/>
  <c r="E162" i="57"/>
  <c r="J229" i="57" s="1"/>
  <c r="E161" i="57"/>
  <c r="J228" i="57" s="1"/>
  <c r="E163" i="57"/>
  <c r="J230" i="57" s="1"/>
  <c r="G125" i="57"/>
  <c r="E129" i="57"/>
  <c r="E155" i="57" s="1"/>
  <c r="G124" i="57"/>
  <c r="F125" i="57"/>
  <c r="M120" i="57"/>
  <c r="E115" i="57"/>
  <c r="E119" i="57"/>
  <c r="T39" i="56"/>
  <c r="O39" i="56"/>
  <c r="G39" i="56"/>
  <c r="E153" i="57"/>
  <c r="M217" i="57"/>
  <c r="M215" i="57"/>
  <c r="M214" i="57"/>
  <c r="M208" i="57" s="1"/>
  <c r="M218" i="57"/>
  <c r="M216" i="57"/>
  <c r="N16" i="57"/>
  <c r="M226" i="57"/>
  <c r="X7" i="56"/>
  <c r="Q47" i="57" s="1"/>
  <c r="H49" i="57"/>
  <c r="S49" i="57"/>
  <c r="M49" i="57"/>
  <c r="F50" i="57"/>
  <c r="G49" i="57"/>
  <c r="G50" i="57" s="1"/>
  <c r="N81" i="57"/>
  <c r="N97" i="57"/>
  <c r="N108" i="57"/>
  <c r="O26" i="57"/>
  <c r="N55" i="57"/>
  <c r="H26" i="57"/>
  <c r="G26" i="57"/>
  <c r="I66" i="56"/>
  <c r="T68" i="57"/>
  <c r="T69" i="57"/>
  <c r="U70" i="57"/>
  <c r="U138" i="57"/>
  <c r="V43" i="57"/>
  <c r="V7" i="56"/>
  <c r="U47" i="57" s="1"/>
  <c r="G60" i="56"/>
  <c r="F30" i="56"/>
  <c r="G30" i="56" s="1"/>
  <c r="F31" i="56"/>
  <c r="G31" i="56" s="1"/>
  <c r="F32" i="56"/>
  <c r="G32" i="56" s="1"/>
  <c r="F35" i="56"/>
  <c r="G35" i="56" s="1"/>
  <c r="F33" i="56"/>
  <c r="G33" i="56" s="1"/>
  <c r="F36" i="56"/>
  <c r="F34" i="56"/>
  <c r="G34" i="56" s="1"/>
  <c r="N110" i="56"/>
  <c r="R66" i="56"/>
  <c r="L66" i="56" s="1"/>
  <c r="Q66" i="56"/>
  <c r="K66" i="56" s="1"/>
  <c r="M116" i="57"/>
  <c r="M128" i="57" s="1"/>
  <c r="M156" i="57" s="1"/>
  <c r="M168" i="57" s="1"/>
  <c r="O198" i="57"/>
  <c r="P209" i="57"/>
  <c r="O196" i="57"/>
  <c r="O212" i="57"/>
  <c r="O211" i="57"/>
  <c r="O197" i="57"/>
  <c r="O210" i="57"/>
  <c r="O21" i="56"/>
  <c r="I21" i="56" s="1"/>
  <c r="W21" i="56"/>
  <c r="Q21" i="56"/>
  <c r="K21" i="56" s="1"/>
  <c r="P21" i="56"/>
  <c r="J21" i="56" s="1"/>
  <c r="U21" i="56"/>
  <c r="N21" i="56"/>
  <c r="H21" i="56"/>
  <c r="V21" i="56"/>
  <c r="X21" i="56"/>
  <c r="T21" i="56"/>
  <c r="R21" i="56"/>
  <c r="L21" i="56" s="1"/>
  <c r="G22" i="56"/>
  <c r="F23" i="56"/>
  <c r="O142" i="57"/>
  <c r="H142" i="57"/>
  <c r="O254" i="57"/>
  <c r="O244" i="57"/>
  <c r="O227" i="57"/>
  <c r="N223" i="57"/>
  <c r="O245" i="57"/>
  <c r="N224" i="57"/>
  <c r="N225" i="57"/>
  <c r="O246" i="57"/>
  <c r="U7" i="56"/>
  <c r="T47" i="57" s="1"/>
  <c r="K217" i="57"/>
  <c r="L217" i="57" s="1"/>
  <c r="K215" i="57"/>
  <c r="L215" i="57" s="1"/>
  <c r="K216" i="57"/>
  <c r="L216" i="57" s="1"/>
  <c r="K214" i="57"/>
  <c r="L214" i="57" s="1"/>
  <c r="M119" i="56"/>
  <c r="L140" i="56" s="1"/>
  <c r="M114" i="56"/>
  <c r="L135" i="56" s="1"/>
  <c r="M112" i="56"/>
  <c r="L133" i="56" s="1"/>
  <c r="M111" i="56"/>
  <c r="L132" i="56" s="1"/>
  <c r="M115" i="56"/>
  <c r="L136" i="56" s="1"/>
  <c r="M120" i="56"/>
  <c r="L141" i="56" s="1"/>
  <c r="M123" i="56"/>
  <c r="L144" i="56" s="1"/>
  <c r="M183" i="56" s="1"/>
  <c r="M116" i="56"/>
  <c r="L137" i="56" s="1"/>
  <c r="M118" i="56"/>
  <c r="L139" i="56" s="1"/>
  <c r="M113" i="56"/>
  <c r="L134" i="56" s="1"/>
  <c r="M117" i="56"/>
  <c r="L138" i="56" s="1"/>
  <c r="P41" i="57"/>
  <c r="I41" i="57"/>
  <c r="N121" i="57"/>
  <c r="N119" i="57"/>
  <c r="O64" i="57"/>
  <c r="O87" i="57" s="1"/>
  <c r="O90" i="57" s="1"/>
  <c r="H64" i="57"/>
  <c r="N68" i="57"/>
  <c r="H68" i="57" s="1"/>
  <c r="O70" i="57"/>
  <c r="N69" i="57"/>
  <c r="H69" i="57" s="1"/>
  <c r="H70" i="57"/>
  <c r="F29" i="56"/>
  <c r="G29" i="56" s="1"/>
  <c r="G36" i="56" s="1"/>
  <c r="V54" i="57"/>
  <c r="W30" i="57"/>
  <c r="W54" i="57" s="1"/>
  <c r="N28" i="56"/>
  <c r="G51" i="56"/>
  <c r="H28" i="56"/>
  <c r="T28" i="56"/>
  <c r="M127" i="57"/>
  <c r="M154" i="57" s="1"/>
  <c r="M166" i="57" s="1"/>
  <c r="N199" i="57"/>
  <c r="R64" i="56"/>
  <c r="L64" i="56" s="1"/>
  <c r="Q64" i="56"/>
  <c r="K64" i="56" s="1"/>
  <c r="D249" i="57"/>
  <c r="K256" i="57" s="1"/>
  <c r="I63" i="56"/>
  <c r="T107" i="57"/>
  <c r="T93" i="57"/>
  <c r="T16" i="57"/>
  <c r="T75" i="57"/>
  <c r="T54" i="57"/>
  <c r="O109" i="56"/>
  <c r="O108" i="56"/>
  <c r="P106" i="56"/>
  <c r="O107" i="56"/>
  <c r="T86" i="57"/>
  <c r="T124" i="57" s="1"/>
  <c r="T109" i="57"/>
  <c r="T101" i="57"/>
  <c r="U27" i="57"/>
  <c r="O86" i="57"/>
  <c r="O109" i="57"/>
  <c r="O101" i="57"/>
  <c r="P27" i="57"/>
  <c r="I27" i="57"/>
  <c r="O56" i="57"/>
  <c r="I56" i="57" s="1"/>
  <c r="R65" i="56"/>
  <c r="L65" i="56" s="1"/>
  <c r="Q65" i="56"/>
  <c r="K65" i="56" s="1"/>
  <c r="P42" i="57"/>
  <c r="I42" i="57"/>
  <c r="D248" i="57"/>
  <c r="K255" i="57" s="1"/>
  <c r="F89" i="56"/>
  <c r="N247" i="57"/>
  <c r="L201" i="57"/>
  <c r="L202" i="57"/>
  <c r="L203" i="57"/>
  <c r="L200" i="57"/>
  <c r="X64" i="56"/>
  <c r="W64" i="56"/>
  <c r="U31" i="57"/>
  <c r="J64" i="56"/>
  <c r="M119" i="57"/>
  <c r="E59" i="57"/>
  <c r="E60" i="57" s="1"/>
  <c r="N109" i="57"/>
  <c r="T139" i="57"/>
  <c r="T137" i="57" s="1"/>
  <c r="X65" i="56"/>
  <c r="W65" i="56"/>
  <c r="N82" i="57"/>
  <c r="N85" i="57" s="1"/>
  <c r="S81" i="57"/>
  <c r="S97" i="57"/>
  <c r="S108" i="57"/>
  <c r="T26" i="57"/>
  <c r="T55" i="57" s="1"/>
  <c r="G76" i="56"/>
  <c r="N43" i="56"/>
  <c r="I43" i="56"/>
  <c r="H43" i="56"/>
  <c r="T43" i="56"/>
  <c r="N213" i="57"/>
  <c r="F117" i="57"/>
  <c r="F115" i="57"/>
  <c r="F116" i="57"/>
  <c r="S55" i="57"/>
  <c r="T56" i="57"/>
  <c r="U32" i="57"/>
  <c r="Q16" i="57"/>
  <c r="M121" i="57"/>
  <c r="N132" i="57"/>
  <c r="O133" i="57"/>
  <c r="H133" i="57"/>
  <c r="S90" i="57"/>
  <c r="S125" i="57" s="1"/>
  <c r="M90" i="57"/>
  <c r="M125" i="57" s="1"/>
  <c r="N101" i="57"/>
  <c r="N125" i="57" s="1"/>
  <c r="X63" i="56"/>
  <c r="W63" i="56"/>
  <c r="U93" i="57"/>
  <c r="U75" i="57"/>
  <c r="U16" i="57"/>
  <c r="K231" i="57"/>
  <c r="L231" i="57" s="1"/>
  <c r="O144" i="57"/>
  <c r="H144" i="57"/>
  <c r="Q134" i="57"/>
  <c r="J134" i="57"/>
  <c r="G56" i="57"/>
  <c r="H56" i="57"/>
  <c r="T125" i="57"/>
  <c r="U64" i="57"/>
  <c r="W7" i="56"/>
  <c r="P47" i="57" s="1"/>
  <c r="W93" i="57"/>
  <c r="W16" i="57"/>
  <c r="W75" i="57"/>
  <c r="R63" i="56"/>
  <c r="L63" i="56" s="1"/>
  <c r="Q63" i="56"/>
  <c r="K63" i="56" s="1"/>
  <c r="M204" i="57"/>
  <c r="M200" i="57"/>
  <c r="M203" i="57"/>
  <c r="M202" i="57"/>
  <c r="M201" i="57"/>
  <c r="P43" i="57"/>
  <c r="I43" i="57"/>
  <c r="P30" i="57"/>
  <c r="I30" i="57"/>
  <c r="T82" i="57"/>
  <c r="T85" i="57" s="1"/>
  <c r="U42" i="57"/>
  <c r="L171" i="56"/>
  <c r="M171" i="56" s="1"/>
  <c r="O36" i="57"/>
  <c r="O82" i="57" s="1"/>
  <c r="O85" i="57" s="1"/>
  <c r="G36" i="57"/>
  <c r="G82" i="57" s="1"/>
  <c r="G85" i="57" s="1"/>
  <c r="H36" i="57"/>
  <c r="N139" i="57"/>
  <c r="N137" i="57" s="1"/>
  <c r="O16" i="57"/>
  <c r="Q35" i="57"/>
  <c r="J35" i="57"/>
  <c r="Q44" i="57"/>
  <c r="K44" i="57" s="1"/>
  <c r="J44" i="57"/>
  <c r="X66" i="56"/>
  <c r="W66" i="56"/>
  <c r="Q31" i="57"/>
  <c r="J31" i="57"/>
  <c r="G48" i="56"/>
  <c r="F40" i="56"/>
  <c r="N54" i="57"/>
  <c r="J66" i="56"/>
  <c r="N93" i="57"/>
  <c r="O25" i="57"/>
  <c r="N107" i="57"/>
  <c r="N75" i="57"/>
  <c r="N117" i="57" s="1"/>
  <c r="G25" i="57"/>
  <c r="H25" i="57"/>
  <c r="U35" i="57"/>
  <c r="F124" i="57"/>
  <c r="F123" i="57"/>
  <c r="U132" i="57"/>
  <c r="V134" i="57"/>
  <c r="T77" i="57"/>
  <c r="T80" i="57" s="1"/>
  <c r="U41" i="57"/>
  <c r="U107" i="57" s="1"/>
  <c r="T7" i="56"/>
  <c r="M47" i="57" s="1"/>
  <c r="F108" i="57"/>
  <c r="F97" i="57"/>
  <c r="F81" i="57"/>
  <c r="F54" i="57"/>
  <c r="O138" i="57"/>
  <c r="H138" i="57"/>
  <c r="S107" i="57"/>
  <c r="S93" i="57"/>
  <c r="S75" i="57"/>
  <c r="S54" i="57"/>
  <c r="D253" i="57" l="1"/>
  <c r="K260" i="57" s="1"/>
  <c r="E127" i="57"/>
  <c r="E154" i="57" s="1"/>
  <c r="N129" i="57"/>
  <c r="N153" i="57" s="1"/>
  <c r="N165" i="57" s="1"/>
  <c r="M129" i="57"/>
  <c r="T115" i="57"/>
  <c r="T117" i="57"/>
  <c r="S120" i="57"/>
  <c r="S116" i="57"/>
  <c r="S128" i="57" s="1"/>
  <c r="S156" i="57" s="1"/>
  <c r="S168" i="57" s="1"/>
  <c r="H82" i="57"/>
  <c r="H85" i="57" s="1"/>
  <c r="W47" i="57"/>
  <c r="M153" i="57"/>
  <c r="M165" i="57" s="1"/>
  <c r="M155" i="57"/>
  <c r="M167" i="57" s="1"/>
  <c r="M152" i="57"/>
  <c r="M164" i="57" s="1"/>
  <c r="T36" i="56"/>
  <c r="N36" i="56"/>
  <c r="G59" i="56"/>
  <c r="N152" i="57"/>
  <c r="N164" i="57" s="1"/>
  <c r="N116" i="57"/>
  <c r="N60" i="56"/>
  <c r="N51" i="56" s="1"/>
  <c r="T60" i="56"/>
  <c r="H50" i="57"/>
  <c r="I49" i="57"/>
  <c r="S115" i="57"/>
  <c r="S117" i="57"/>
  <c r="O107" i="57"/>
  <c r="P25" i="57"/>
  <c r="O75" i="57"/>
  <c r="O93" i="57"/>
  <c r="O115" i="57" s="1"/>
  <c r="I25" i="57"/>
  <c r="N203" i="57"/>
  <c r="N200" i="57"/>
  <c r="N201" i="57"/>
  <c r="N202" i="57"/>
  <c r="N204" i="57"/>
  <c r="O47" i="57"/>
  <c r="G97" i="57"/>
  <c r="G81" i="57"/>
  <c r="G108" i="57"/>
  <c r="D251" i="57"/>
  <c r="K258" i="57" s="1"/>
  <c r="O28" i="56"/>
  <c r="N120" i="57"/>
  <c r="W134" i="57"/>
  <c r="V132" i="57"/>
  <c r="O54" i="57"/>
  <c r="Q43" i="57"/>
  <c r="J43" i="57"/>
  <c r="T116" i="57"/>
  <c r="N218" i="57"/>
  <c r="N216" i="57"/>
  <c r="N214" i="57"/>
  <c r="N217" i="57"/>
  <c r="N215" i="57"/>
  <c r="Q42" i="57"/>
  <c r="J42" i="57"/>
  <c r="P254" i="57"/>
  <c r="P245" i="57"/>
  <c r="P246" i="57"/>
  <c r="O225" i="57"/>
  <c r="P244" i="57"/>
  <c r="P227" i="57"/>
  <c r="O223" i="57"/>
  <c r="O224" i="57"/>
  <c r="N118" i="56"/>
  <c r="M139" i="56" s="1"/>
  <c r="N113" i="56"/>
  <c r="M134" i="56" s="1"/>
  <c r="N111" i="56"/>
  <c r="M132" i="56" s="1"/>
  <c r="N120" i="56"/>
  <c r="M141" i="56" s="1"/>
  <c r="N123" i="56"/>
  <c r="M144" i="56" s="1"/>
  <c r="N183" i="56" s="1"/>
  <c r="N119" i="56"/>
  <c r="M140" i="56" s="1"/>
  <c r="N116" i="56"/>
  <c r="M137" i="56" s="1"/>
  <c r="N117" i="56"/>
  <c r="M138" i="56" s="1"/>
  <c r="N114" i="56"/>
  <c r="M135" i="56" s="1"/>
  <c r="N115" i="56"/>
  <c r="M136" i="56" s="1"/>
  <c r="N112" i="56"/>
  <c r="M133" i="56" s="1"/>
  <c r="O108" i="57"/>
  <c r="O81" i="57"/>
  <c r="O121" i="57" s="1"/>
  <c r="O97" i="57"/>
  <c r="P26" i="57"/>
  <c r="I26" i="57"/>
  <c r="O55" i="57"/>
  <c r="I55" i="57" s="1"/>
  <c r="E192" i="57"/>
  <c r="E167" i="57"/>
  <c r="U56" i="57"/>
  <c r="V32" i="57"/>
  <c r="F119" i="57"/>
  <c r="F127" i="57" s="1"/>
  <c r="F154" i="57" s="1"/>
  <c r="F121" i="57"/>
  <c r="F120" i="57"/>
  <c r="F128" i="57" s="1"/>
  <c r="I87" i="57"/>
  <c r="I90" i="57" s="1"/>
  <c r="K134" i="57"/>
  <c r="P138" i="57"/>
  <c r="O137" i="57"/>
  <c r="I138" i="57"/>
  <c r="V35" i="57"/>
  <c r="K35" i="57"/>
  <c r="P144" i="57"/>
  <c r="I144" i="57"/>
  <c r="U101" i="57"/>
  <c r="U124" i="57" s="1"/>
  <c r="U86" i="57"/>
  <c r="U109" i="57"/>
  <c r="V27" i="57"/>
  <c r="H123" i="57"/>
  <c r="H124" i="57"/>
  <c r="O247" i="57"/>
  <c r="G57" i="56"/>
  <c r="H34" i="56"/>
  <c r="T34" i="56"/>
  <c r="N34" i="56"/>
  <c r="M232" i="57"/>
  <c r="M231" i="57"/>
  <c r="E190" i="57"/>
  <c r="E165" i="57"/>
  <c r="O69" i="57"/>
  <c r="I69" i="57" s="1"/>
  <c r="O68" i="57"/>
  <c r="I68" i="57" s="1"/>
  <c r="P70" i="57"/>
  <c r="I70" i="57"/>
  <c r="H55" i="57"/>
  <c r="G55" i="57"/>
  <c r="S47" i="57"/>
  <c r="T49" i="57" s="1"/>
  <c r="U77" i="57"/>
  <c r="U80" i="57" s="1"/>
  <c r="V41" i="57"/>
  <c r="H54" i="57"/>
  <c r="G54" i="57"/>
  <c r="U82" i="57"/>
  <c r="U85" i="57" s="1"/>
  <c r="V42" i="57"/>
  <c r="H132" i="57"/>
  <c r="T92" i="56"/>
  <c r="U43" i="56"/>
  <c r="T76" i="56"/>
  <c r="V31" i="57"/>
  <c r="N123" i="57"/>
  <c r="O213" i="57"/>
  <c r="U68" i="57"/>
  <c r="U69" i="57"/>
  <c r="U116" i="57" s="1"/>
  <c r="V70" i="57"/>
  <c r="H77" i="57"/>
  <c r="H80" i="57" s="1"/>
  <c r="H87" i="57"/>
  <c r="H90" i="57" s="1"/>
  <c r="H125" i="57" s="1"/>
  <c r="Q30" i="57"/>
  <c r="P54" i="57"/>
  <c r="J30" i="57"/>
  <c r="N226" i="57"/>
  <c r="T123" i="57"/>
  <c r="F129" i="57"/>
  <c r="F155" i="57" s="1"/>
  <c r="H76" i="56"/>
  <c r="O171" i="56"/>
  <c r="P171" i="56" s="1"/>
  <c r="Q171" i="56" s="1"/>
  <c r="R171" i="56" s="1"/>
  <c r="S171" i="56"/>
  <c r="T171" i="56" s="1"/>
  <c r="U171" i="56" s="1"/>
  <c r="V171" i="56" s="1"/>
  <c r="W171" i="56" s="1"/>
  <c r="X171" i="56" s="1"/>
  <c r="Y171" i="56" s="1"/>
  <c r="Z171" i="56" s="1"/>
  <c r="AA171" i="56" s="1"/>
  <c r="AB171" i="56" s="1"/>
  <c r="N33" i="56"/>
  <c r="G56" i="56"/>
  <c r="T33" i="56"/>
  <c r="H33" i="56"/>
  <c r="E156" i="57"/>
  <c r="D252" i="57"/>
  <c r="K259" i="57" s="1"/>
  <c r="H108" i="57"/>
  <c r="H81" i="57"/>
  <c r="H120" i="57" s="1"/>
  <c r="H97" i="57"/>
  <c r="I76" i="56"/>
  <c r="J43" i="56"/>
  <c r="I92" i="56"/>
  <c r="AC171" i="56"/>
  <c r="O110" i="56"/>
  <c r="O124" i="57"/>
  <c r="O123" i="57"/>
  <c r="O116" i="57"/>
  <c r="P64" i="57"/>
  <c r="P87" i="57" s="1"/>
  <c r="P90" i="57" s="1"/>
  <c r="O125" i="57"/>
  <c r="I64" i="57"/>
  <c r="I77" i="57" s="1"/>
  <c r="I80" i="57" s="1"/>
  <c r="P142" i="57"/>
  <c r="I142" i="57"/>
  <c r="N35" i="56"/>
  <c r="G58" i="56"/>
  <c r="H35" i="56"/>
  <c r="T35" i="56"/>
  <c r="G110" i="57"/>
  <c r="G51" i="57"/>
  <c r="G46" i="56"/>
  <c r="G40" i="56"/>
  <c r="H48" i="56"/>
  <c r="T48" i="56"/>
  <c r="U48" i="56" s="1"/>
  <c r="V48" i="56" s="1"/>
  <c r="W48" i="56" s="1"/>
  <c r="X48" i="56" s="1"/>
  <c r="N48" i="56"/>
  <c r="I48" i="56"/>
  <c r="J48" i="56" s="1"/>
  <c r="K48" i="56" s="1"/>
  <c r="L48" i="56" s="1"/>
  <c r="H107" i="57"/>
  <c r="H93" i="57"/>
  <c r="H75" i="57"/>
  <c r="H117" i="57" s="1"/>
  <c r="V47" i="57"/>
  <c r="N92" i="56"/>
  <c r="O43" i="56"/>
  <c r="N76" i="56"/>
  <c r="I101" i="57"/>
  <c r="I86" i="57"/>
  <c r="I109" i="57"/>
  <c r="Q106" i="56"/>
  <c r="P109" i="56"/>
  <c r="P107" i="56"/>
  <c r="P108" i="56"/>
  <c r="N115" i="57"/>
  <c r="P77" i="57"/>
  <c r="P80" i="57" s="1"/>
  <c r="Q41" i="57"/>
  <c r="J41" i="57"/>
  <c r="N47" i="57"/>
  <c r="N49" i="57" s="1"/>
  <c r="G23" i="56"/>
  <c r="F24" i="56"/>
  <c r="G55" i="56"/>
  <c r="H32" i="56"/>
  <c r="T32" i="56"/>
  <c r="N32" i="56"/>
  <c r="U87" i="57"/>
  <c r="U90" i="57" s="1"/>
  <c r="U125" i="57" s="1"/>
  <c r="F110" i="57"/>
  <c r="F111" i="57" s="1"/>
  <c r="F51" i="57"/>
  <c r="P39" i="56"/>
  <c r="O40" i="56"/>
  <c r="H39" i="56"/>
  <c r="I39" i="56"/>
  <c r="S121" i="57"/>
  <c r="S119" i="57"/>
  <c r="G78" i="56"/>
  <c r="L173" i="56"/>
  <c r="M173" i="56" s="1"/>
  <c r="N173" i="56"/>
  <c r="V138" i="57"/>
  <c r="U137" i="57"/>
  <c r="P133" i="57"/>
  <c r="O132" i="57"/>
  <c r="I133" i="57"/>
  <c r="G93" i="57"/>
  <c r="G75" i="57"/>
  <c r="G107" i="57"/>
  <c r="N155" i="57"/>
  <c r="N167" i="57" s="1"/>
  <c r="H139" i="57"/>
  <c r="H137" i="57" s="1"/>
  <c r="P109" i="57"/>
  <c r="P101" i="57"/>
  <c r="P86" i="57"/>
  <c r="Q27" i="57"/>
  <c r="J27" i="57"/>
  <c r="P56" i="57"/>
  <c r="J56" i="57" s="1"/>
  <c r="O77" i="57"/>
  <c r="O80" i="57" s="1"/>
  <c r="T22" i="56"/>
  <c r="U22" i="56" s="1"/>
  <c r="V22" i="56" s="1"/>
  <c r="W22" i="56" s="1"/>
  <c r="R22" i="56"/>
  <c r="L22" i="56" s="1"/>
  <c r="H22" i="56"/>
  <c r="H60" i="56" s="1"/>
  <c r="H51" i="56" s="1"/>
  <c r="X22" i="56"/>
  <c r="N22" i="56"/>
  <c r="O22" i="56" s="1"/>
  <c r="O199" i="57"/>
  <c r="G54" i="56"/>
  <c r="T31" i="56"/>
  <c r="N31" i="56"/>
  <c r="H31" i="56"/>
  <c r="W43" i="57"/>
  <c r="M50" i="57"/>
  <c r="M57" i="57"/>
  <c r="U39" i="56"/>
  <c r="S162" i="57"/>
  <c r="U115" i="57"/>
  <c r="V64" i="57"/>
  <c r="U117" i="57"/>
  <c r="P36" i="57"/>
  <c r="P82" i="57" s="1"/>
  <c r="P85" i="57" s="1"/>
  <c r="I36" i="57"/>
  <c r="I82" i="57" s="1"/>
  <c r="I85" i="57" s="1"/>
  <c r="K31" i="57"/>
  <c r="T108" i="57"/>
  <c r="T97" i="57"/>
  <c r="T81" i="57"/>
  <c r="U26" i="57"/>
  <c r="U55" i="57" s="1"/>
  <c r="T51" i="56"/>
  <c r="U28" i="56"/>
  <c r="T29" i="56"/>
  <c r="N29" i="56"/>
  <c r="H29" i="56"/>
  <c r="H36" i="56" s="1"/>
  <c r="G52" i="56"/>
  <c r="N124" i="57"/>
  <c r="P210" i="57"/>
  <c r="P212" i="57"/>
  <c r="Q209" i="57"/>
  <c r="P197" i="57"/>
  <c r="P211" i="57"/>
  <c r="P198" i="57"/>
  <c r="P196" i="57"/>
  <c r="P199" i="57" s="1"/>
  <c r="G53" i="56"/>
  <c r="N30" i="56"/>
  <c r="H30" i="56"/>
  <c r="T30" i="56"/>
  <c r="S50" i="57"/>
  <c r="S57" i="57"/>
  <c r="V87" i="57" l="1"/>
  <c r="V90" i="57" s="1"/>
  <c r="H115" i="57"/>
  <c r="U123" i="57"/>
  <c r="O120" i="57"/>
  <c r="O128" i="57" s="1"/>
  <c r="O156" i="57" s="1"/>
  <c r="O168" i="57" s="1"/>
  <c r="O117" i="57"/>
  <c r="O129" i="57" s="1"/>
  <c r="E191" i="57"/>
  <c r="E166" i="57"/>
  <c r="J233" i="57" s="1"/>
  <c r="T46" i="56"/>
  <c r="T93" i="56" s="1"/>
  <c r="N57" i="57"/>
  <c r="N50" i="57"/>
  <c r="O49" i="57"/>
  <c r="T57" i="57"/>
  <c r="T50" i="57"/>
  <c r="U49" i="57"/>
  <c r="F156" i="57"/>
  <c r="E253" i="57"/>
  <c r="H78" i="56"/>
  <c r="S173" i="56"/>
  <c r="O173" i="56"/>
  <c r="P173" i="56" s="1"/>
  <c r="Q173" i="56" s="1"/>
  <c r="R173" i="56" s="1"/>
  <c r="O155" i="57"/>
  <c r="O167" i="57" s="1"/>
  <c r="O153" i="57"/>
  <c r="O165" i="57" s="1"/>
  <c r="H59" i="56"/>
  <c r="E250" i="57"/>
  <c r="E248" i="57"/>
  <c r="E249" i="57"/>
  <c r="V39" i="56"/>
  <c r="U46" i="56"/>
  <c r="U40" i="56"/>
  <c r="U47" i="56" s="1"/>
  <c r="U87" i="56" s="1"/>
  <c r="H57" i="56"/>
  <c r="I81" i="57"/>
  <c r="I108" i="57"/>
  <c r="I97" i="57"/>
  <c r="J49" i="57"/>
  <c r="I50" i="57"/>
  <c r="T78" i="56"/>
  <c r="T94" i="56"/>
  <c r="P40" i="56"/>
  <c r="R39" i="56"/>
  <c r="Q39" i="56"/>
  <c r="J39" i="56"/>
  <c r="Q109" i="56"/>
  <c r="Q107" i="56"/>
  <c r="Q110" i="56" s="1"/>
  <c r="Q108" i="56"/>
  <c r="R106" i="56"/>
  <c r="N58" i="56"/>
  <c r="O35" i="56"/>
  <c r="O119" i="57"/>
  <c r="N232" i="57"/>
  <c r="N231" i="57"/>
  <c r="G84" i="56"/>
  <c r="N179" i="56"/>
  <c r="L179" i="56"/>
  <c r="M179" i="56" s="1"/>
  <c r="P81" i="57"/>
  <c r="P97" i="57"/>
  <c r="Q26" i="57"/>
  <c r="P108" i="57"/>
  <c r="J26" i="57"/>
  <c r="P55" i="57"/>
  <c r="J55" i="57" s="1"/>
  <c r="H110" i="57"/>
  <c r="H111" i="57" s="1"/>
  <c r="H51" i="57"/>
  <c r="F57" i="57"/>
  <c r="M163" i="57"/>
  <c r="M58" i="57"/>
  <c r="M61" i="57" s="1"/>
  <c r="F61" i="57" s="1"/>
  <c r="M161" i="57"/>
  <c r="M162" i="57"/>
  <c r="O127" i="57"/>
  <c r="O154" i="57" s="1"/>
  <c r="O166" i="57" s="1"/>
  <c r="O48" i="56"/>
  <c r="N46" i="56"/>
  <c r="Q142" i="57"/>
  <c r="K142" i="57" s="1"/>
  <c r="J142" i="57"/>
  <c r="E193" i="57"/>
  <c r="E168" i="57"/>
  <c r="E169" i="57" s="1"/>
  <c r="J54" i="57"/>
  <c r="V109" i="57"/>
  <c r="V86" i="57"/>
  <c r="W27" i="57"/>
  <c r="V101" i="57"/>
  <c r="W35" i="57"/>
  <c r="W132" i="57"/>
  <c r="G121" i="57"/>
  <c r="G119" i="57"/>
  <c r="G120" i="57"/>
  <c r="U60" i="56"/>
  <c r="V60" i="56" s="1"/>
  <c r="W60" i="56" s="1"/>
  <c r="X60" i="56" s="1"/>
  <c r="P22" i="56"/>
  <c r="I22" i="56"/>
  <c r="I60" i="56" s="1"/>
  <c r="H56" i="56"/>
  <c r="K30" i="57"/>
  <c r="G86" i="56"/>
  <c r="G102" i="56"/>
  <c r="T119" i="57"/>
  <c r="T127" i="57" s="1"/>
  <c r="T154" i="57" s="1"/>
  <c r="T166" i="57" s="1"/>
  <c r="T121" i="57"/>
  <c r="T129" i="57" s="1"/>
  <c r="T120" i="57"/>
  <c r="T128" i="57" s="1"/>
  <c r="T156" i="57" s="1"/>
  <c r="T168" i="57" s="1"/>
  <c r="M110" i="57"/>
  <c r="M111" i="57" s="1"/>
  <c r="M51" i="57"/>
  <c r="G111" i="57"/>
  <c r="U33" i="56"/>
  <c r="T56" i="56"/>
  <c r="V55" i="57"/>
  <c r="W31" i="57"/>
  <c r="H121" i="57"/>
  <c r="H129" i="57" s="1"/>
  <c r="E252" i="57"/>
  <c r="I93" i="57"/>
  <c r="I75" i="57"/>
  <c r="I115" i="57" s="1"/>
  <c r="I107" i="57"/>
  <c r="O60" i="56"/>
  <c r="N59" i="56"/>
  <c r="N86" i="56" s="1"/>
  <c r="AA77" i="56" s="1"/>
  <c r="G85" i="56"/>
  <c r="L180" i="56"/>
  <c r="M180" i="56" s="1"/>
  <c r="N180" i="56"/>
  <c r="V77" i="57"/>
  <c r="V80" i="57" s="1"/>
  <c r="W41" i="57"/>
  <c r="V107" i="57"/>
  <c r="U97" i="57"/>
  <c r="U108" i="57"/>
  <c r="U81" i="57"/>
  <c r="V26" i="57"/>
  <c r="K41" i="57"/>
  <c r="N55" i="56"/>
  <c r="O32" i="56"/>
  <c r="P43" i="56"/>
  <c r="O92" i="56"/>
  <c r="O76" i="56"/>
  <c r="T40" i="56"/>
  <c r="T47" i="56" s="1"/>
  <c r="T87" i="56" s="1"/>
  <c r="G47" i="56"/>
  <c r="N40" i="56"/>
  <c r="N47" i="56" s="1"/>
  <c r="N87" i="56" s="1"/>
  <c r="G83" i="56"/>
  <c r="L178" i="56"/>
  <c r="M178" i="56" s="1"/>
  <c r="N178" i="56"/>
  <c r="Q70" i="57"/>
  <c r="P68" i="57"/>
  <c r="J68" i="57" s="1"/>
  <c r="P69" i="57"/>
  <c r="J69" i="57" s="1"/>
  <c r="J70" i="57"/>
  <c r="H116" i="57"/>
  <c r="H128" i="57" s="1"/>
  <c r="H156" i="57" s="1"/>
  <c r="N128" i="57"/>
  <c r="N156" i="57" s="1"/>
  <c r="N168" i="57" s="1"/>
  <c r="T59" i="56"/>
  <c r="T86" i="56" s="1"/>
  <c r="AG77" i="56" s="1"/>
  <c r="O215" i="57"/>
  <c r="O218" i="57"/>
  <c r="O217" i="57"/>
  <c r="O216" i="57"/>
  <c r="O214" i="57"/>
  <c r="Q210" i="57"/>
  <c r="Q196" i="57"/>
  <c r="Q199" i="57" s="1"/>
  <c r="Q211" i="57"/>
  <c r="R209" i="57"/>
  <c r="Q212" i="57"/>
  <c r="Q198" i="57"/>
  <c r="Q197" i="57"/>
  <c r="N127" i="57"/>
  <c r="N154" i="57" s="1"/>
  <c r="N166" i="57" s="1"/>
  <c r="G115" i="57"/>
  <c r="G127" i="57" s="1"/>
  <c r="G154" i="57" s="1"/>
  <c r="G117" i="57"/>
  <c r="G116" i="57"/>
  <c r="G128" i="57" s="1"/>
  <c r="G156" i="57" s="1"/>
  <c r="H54" i="56"/>
  <c r="I132" i="57"/>
  <c r="U32" i="56"/>
  <c r="T55" i="56"/>
  <c r="G77" i="56"/>
  <c r="L172" i="56"/>
  <c r="M172" i="56" s="1"/>
  <c r="N172" i="56"/>
  <c r="O33" i="56"/>
  <c r="N56" i="56"/>
  <c r="U76" i="56"/>
  <c r="V43" i="56"/>
  <c r="U92" i="56"/>
  <c r="H119" i="57"/>
  <c r="H127" i="57" s="1"/>
  <c r="V56" i="57"/>
  <c r="W32" i="57"/>
  <c r="W56" i="57" s="1"/>
  <c r="U51" i="56"/>
  <c r="V28" i="56"/>
  <c r="W42" i="57"/>
  <c r="V82" i="57"/>
  <c r="V85" i="57" s="1"/>
  <c r="P213" i="57"/>
  <c r="S110" i="57"/>
  <c r="S111" i="57" s="1"/>
  <c r="S51" i="57"/>
  <c r="T53" i="56"/>
  <c r="U30" i="56"/>
  <c r="G79" i="56"/>
  <c r="N174" i="56"/>
  <c r="L174" i="56"/>
  <c r="M174" i="56" s="1"/>
  <c r="S163" i="57"/>
  <c r="O31" i="56"/>
  <c r="N54" i="56"/>
  <c r="J109" i="57"/>
  <c r="J101" i="57"/>
  <c r="J86" i="57"/>
  <c r="H55" i="56"/>
  <c r="W70" i="57"/>
  <c r="V69" i="57"/>
  <c r="V124" i="57" s="1"/>
  <c r="V68" i="57"/>
  <c r="V115" i="57" s="1"/>
  <c r="J232" i="57"/>
  <c r="K232" i="57" s="1"/>
  <c r="L232" i="57" s="1"/>
  <c r="I137" i="57"/>
  <c r="K42" i="57"/>
  <c r="P28" i="56"/>
  <c r="O51" i="56"/>
  <c r="I28" i="56"/>
  <c r="P93" i="57"/>
  <c r="P75" i="57"/>
  <c r="P115" i="57" s="1"/>
  <c r="P127" i="57" s="1"/>
  <c r="P154" i="57" s="1"/>
  <c r="P166" i="57" s="1"/>
  <c r="P107" i="57"/>
  <c r="Q25" i="57"/>
  <c r="J25" i="57"/>
  <c r="Q144" i="57"/>
  <c r="K144" i="57" s="1"/>
  <c r="J144" i="57"/>
  <c r="J234" i="57"/>
  <c r="O226" i="57"/>
  <c r="K43" i="57"/>
  <c r="N94" i="56"/>
  <c r="N78" i="56"/>
  <c r="W138" i="57"/>
  <c r="V137" i="57"/>
  <c r="Q109" i="57"/>
  <c r="Q101" i="57"/>
  <c r="Q86" i="57"/>
  <c r="K27" i="57"/>
  <c r="Q56" i="57"/>
  <c r="K56" i="57" s="1"/>
  <c r="I46" i="56"/>
  <c r="I40" i="56"/>
  <c r="I47" i="56" s="1"/>
  <c r="J76" i="56"/>
  <c r="K43" i="56"/>
  <c r="J92" i="56"/>
  <c r="AM171" i="56"/>
  <c r="AD171" i="56"/>
  <c r="AE171" i="56" s="1"/>
  <c r="AF171" i="56" s="1"/>
  <c r="AG171" i="56" s="1"/>
  <c r="AH171" i="56" s="1"/>
  <c r="AI171" i="56" s="1"/>
  <c r="AJ171" i="56" s="1"/>
  <c r="AK171" i="56" s="1"/>
  <c r="AL171" i="56" s="1"/>
  <c r="F192" i="57"/>
  <c r="F167" i="57"/>
  <c r="F191" i="57"/>
  <c r="F166" i="57"/>
  <c r="BG204" i="57"/>
  <c r="BH204" i="57" s="1"/>
  <c r="BG218" i="57"/>
  <c r="BH218" i="57" s="1"/>
  <c r="L190" i="57"/>
  <c r="K204" i="57"/>
  <c r="L204" i="57" s="1"/>
  <c r="O30" i="56"/>
  <c r="N53" i="56"/>
  <c r="N52" i="56"/>
  <c r="O29" i="56"/>
  <c r="O36" i="56" s="1"/>
  <c r="O59" i="56" s="1"/>
  <c r="O86" i="56" s="1"/>
  <c r="AB77" i="56" s="1"/>
  <c r="S161" i="57"/>
  <c r="G81" i="56"/>
  <c r="N176" i="56"/>
  <c r="L176" i="56"/>
  <c r="M176" i="56" s="1"/>
  <c r="H46" i="56"/>
  <c r="H40" i="56"/>
  <c r="H47" i="56" s="1"/>
  <c r="F25" i="56"/>
  <c r="G25" i="56" s="1"/>
  <c r="G24" i="56"/>
  <c r="T58" i="56"/>
  <c r="U35" i="56"/>
  <c r="E251" i="57"/>
  <c r="N57" i="56"/>
  <c r="O34" i="56"/>
  <c r="O152" i="57"/>
  <c r="O164" i="57" s="1"/>
  <c r="BG220" i="57"/>
  <c r="BH220" i="57" s="1"/>
  <c r="BG206" i="57"/>
  <c r="BH206" i="57" s="1"/>
  <c r="L192" i="57"/>
  <c r="Q246" i="57"/>
  <c r="Q244" i="57"/>
  <c r="P224" i="57"/>
  <c r="Q245" i="57"/>
  <c r="Q254" i="57"/>
  <c r="Q227" i="57"/>
  <c r="P225" i="57"/>
  <c r="P223" i="57"/>
  <c r="I54" i="57"/>
  <c r="S129" i="57"/>
  <c r="V117" i="57"/>
  <c r="W64" i="57"/>
  <c r="H53" i="56"/>
  <c r="H52" i="56"/>
  <c r="Q36" i="57"/>
  <c r="K36" i="57" s="1"/>
  <c r="J36" i="57"/>
  <c r="J82" i="57" s="1"/>
  <c r="J85" i="57" s="1"/>
  <c r="U31" i="56"/>
  <c r="T54" i="56"/>
  <c r="Q133" i="57"/>
  <c r="P132" i="57"/>
  <c r="J133" i="57"/>
  <c r="G82" i="56"/>
  <c r="L177" i="56"/>
  <c r="M177" i="56" s="1"/>
  <c r="N177" i="56"/>
  <c r="I124" i="57"/>
  <c r="I125" i="57"/>
  <c r="I123" i="57"/>
  <c r="I121" i="57"/>
  <c r="I119" i="57"/>
  <c r="I120" i="57"/>
  <c r="O117" i="56"/>
  <c r="N138" i="56" s="1"/>
  <c r="O112" i="56"/>
  <c r="N133" i="56" s="1"/>
  <c r="O120" i="56"/>
  <c r="N141" i="56" s="1"/>
  <c r="O119" i="56"/>
  <c r="N140" i="56" s="1"/>
  <c r="O111" i="56"/>
  <c r="N132" i="56" s="1"/>
  <c r="O123" i="56"/>
  <c r="N144" i="56" s="1"/>
  <c r="O183" i="56" s="1"/>
  <c r="O116" i="56"/>
  <c r="N137" i="56" s="1"/>
  <c r="O118" i="56"/>
  <c r="N139" i="56" s="1"/>
  <c r="O113" i="56"/>
  <c r="N134" i="56" s="1"/>
  <c r="O114" i="56"/>
  <c r="N135" i="56" s="1"/>
  <c r="O115" i="56"/>
  <c r="N136" i="56" s="1"/>
  <c r="G80" i="56"/>
  <c r="N175" i="56"/>
  <c r="L175" i="56"/>
  <c r="M175" i="56" s="1"/>
  <c r="T52" i="56"/>
  <c r="U29" i="56"/>
  <c r="S58" i="57"/>
  <c r="S59" i="57" s="1"/>
  <c r="S60" i="57" s="1"/>
  <c r="O204" i="57"/>
  <c r="P204" i="57" s="1"/>
  <c r="O202" i="57"/>
  <c r="P202" i="57" s="1"/>
  <c r="O203" i="57"/>
  <c r="P203" i="57" s="1"/>
  <c r="O200" i="57"/>
  <c r="P200" i="57" s="1"/>
  <c r="O201" i="57"/>
  <c r="P201" i="57" s="1"/>
  <c r="O47" i="56"/>
  <c r="O87" i="56" s="1"/>
  <c r="X23" i="56"/>
  <c r="N23" i="56"/>
  <c r="O23" i="56" s="1"/>
  <c r="H23" i="56"/>
  <c r="R23" i="56"/>
  <c r="L23" i="56" s="1"/>
  <c r="T23" i="56"/>
  <c r="U23" i="56" s="1"/>
  <c r="V23" i="56" s="1"/>
  <c r="W23" i="56" s="1"/>
  <c r="P110" i="56"/>
  <c r="H58" i="56"/>
  <c r="P125" i="57"/>
  <c r="P123" i="57"/>
  <c r="P124" i="57"/>
  <c r="P121" i="57"/>
  <c r="P119" i="57"/>
  <c r="Q64" i="57"/>
  <c r="Q87" i="57" s="1"/>
  <c r="Q90" i="57" s="1"/>
  <c r="J64" i="57"/>
  <c r="J87" i="57" s="1"/>
  <c r="J90" i="57" s="1"/>
  <c r="U34" i="56"/>
  <c r="T57" i="56"/>
  <c r="Q138" i="57"/>
  <c r="P137" i="57"/>
  <c r="J138" i="57"/>
  <c r="P247" i="57"/>
  <c r="S127" i="57"/>
  <c r="S154" i="57" s="1"/>
  <c r="S166" i="57" s="1"/>
  <c r="K218" i="57" l="1"/>
  <c r="L218" i="57" s="1"/>
  <c r="V125" i="57"/>
  <c r="P117" i="57"/>
  <c r="P129" i="57" s="1"/>
  <c r="BG219" i="57"/>
  <c r="BH219" i="57" s="1"/>
  <c r="L191" i="57"/>
  <c r="BG205" i="57"/>
  <c r="BH205" i="57" s="1"/>
  <c r="U36" i="56"/>
  <c r="U59" i="56" s="1"/>
  <c r="U86" i="56" s="1"/>
  <c r="AH77" i="56" s="1"/>
  <c r="S61" i="57"/>
  <c r="T77" i="56"/>
  <c r="G129" i="57"/>
  <c r="G155" i="57" s="1"/>
  <c r="G167" i="57" s="1"/>
  <c r="F249" i="57"/>
  <c r="P256" i="57" s="1"/>
  <c r="F248" i="57"/>
  <c r="H149" i="57"/>
  <c r="H186" i="57" s="1"/>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E175" i="57"/>
  <c r="E172" i="57"/>
  <c r="E174" i="57"/>
  <c r="E173" i="57"/>
  <c r="E177" i="57"/>
  <c r="E176" i="57"/>
  <c r="E178" i="57"/>
  <c r="H154" i="57"/>
  <c r="F253" i="57"/>
  <c r="I127" i="57"/>
  <c r="I154" i="57" s="1"/>
  <c r="P155" i="57"/>
  <c r="P167" i="57" s="1"/>
  <c r="P153" i="57"/>
  <c r="P165" i="57" s="1"/>
  <c r="H153" i="57"/>
  <c r="H152" i="57"/>
  <c r="H155" i="57"/>
  <c r="N84" i="56"/>
  <c r="N100" i="56"/>
  <c r="J107" i="57"/>
  <c r="J93" i="57"/>
  <c r="J75" i="57"/>
  <c r="T79" i="56"/>
  <c r="T95" i="56"/>
  <c r="Q107" i="57"/>
  <c r="Q75" i="57"/>
  <c r="Q93" i="57"/>
  <c r="K25" i="57"/>
  <c r="J137" i="57"/>
  <c r="O94" i="56"/>
  <c r="O78" i="56"/>
  <c r="T80" i="56"/>
  <c r="T96" i="56"/>
  <c r="K234" i="57"/>
  <c r="L234" i="57"/>
  <c r="M234" i="57"/>
  <c r="T82" i="56"/>
  <c r="T98" i="56"/>
  <c r="I116" i="57"/>
  <c r="I128" i="57" s="1"/>
  <c r="I156" i="57" s="1"/>
  <c r="W117" i="57"/>
  <c r="X25" i="56"/>
  <c r="H25" i="56"/>
  <c r="R25" i="56"/>
  <c r="L25" i="56" s="1"/>
  <c r="N25" i="56"/>
  <c r="O25" i="56" s="1"/>
  <c r="T25" i="56"/>
  <c r="U25" i="56" s="1"/>
  <c r="V25" i="56" s="1"/>
  <c r="W25" i="56" s="1"/>
  <c r="O53" i="56"/>
  <c r="P30" i="56"/>
  <c r="I30" i="56"/>
  <c r="I53" i="56" s="1"/>
  <c r="I117" i="57"/>
  <c r="I129" i="57" s="1"/>
  <c r="H87" i="56"/>
  <c r="H103" i="56"/>
  <c r="I103" i="56"/>
  <c r="I87" i="56"/>
  <c r="H151" i="57"/>
  <c r="H188" i="57" s="1"/>
  <c r="M188" i="57" s="1"/>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F250" i="57"/>
  <c r="H150" i="57"/>
  <c r="H187" i="57" s="1"/>
  <c r="M187" i="57" s="1"/>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Q82" i="57"/>
  <c r="Q85" i="57" s="1"/>
  <c r="N97" i="56"/>
  <c r="N81" i="56"/>
  <c r="Q213" i="57"/>
  <c r="Q54" i="57"/>
  <c r="M169" i="57"/>
  <c r="M172" i="57" s="1"/>
  <c r="J40" i="56"/>
  <c r="J47" i="56" s="1"/>
  <c r="J46" i="56"/>
  <c r="H86" i="56"/>
  <c r="H102" i="56"/>
  <c r="P218" i="57"/>
  <c r="P216" i="57"/>
  <c r="P214" i="57"/>
  <c r="P217" i="57"/>
  <c r="P215" i="57"/>
  <c r="W87" i="57"/>
  <c r="W90" i="57" s="1"/>
  <c r="P123" i="56"/>
  <c r="O144" i="56" s="1"/>
  <c r="P183"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O52" i="56"/>
  <c r="P29" i="56"/>
  <c r="I29" i="56"/>
  <c r="I52" i="56" s="1"/>
  <c r="V116" i="57"/>
  <c r="Q132" i="57"/>
  <c r="K133" i="57"/>
  <c r="P226" i="57"/>
  <c r="O57" i="56"/>
  <c r="P34" i="56"/>
  <c r="I34" i="56"/>
  <c r="I57" i="56" s="1"/>
  <c r="H77" i="56"/>
  <c r="S172" i="56"/>
  <c r="T172" i="56" s="1"/>
  <c r="U172" i="56" s="1"/>
  <c r="V172" i="56" s="1"/>
  <c r="W172" i="56" s="1"/>
  <c r="X172" i="56" s="1"/>
  <c r="Y172" i="56" s="1"/>
  <c r="Z172" i="56" s="1"/>
  <c r="AA172" i="56" s="1"/>
  <c r="AB172" i="56" s="1"/>
  <c r="O172" i="56"/>
  <c r="P172" i="56" s="1"/>
  <c r="Q172" i="56" s="1"/>
  <c r="R172" i="56" s="1"/>
  <c r="I93" i="56"/>
  <c r="I77" i="56"/>
  <c r="AC172" i="56"/>
  <c r="O54" i="56"/>
  <c r="P31" i="56"/>
  <c r="I31" i="56"/>
  <c r="I54" i="56" s="1"/>
  <c r="H81" i="56"/>
  <c r="O176" i="56"/>
  <c r="P176" i="56" s="1"/>
  <c r="Q176" i="56" s="1"/>
  <c r="R176" i="56" s="1"/>
  <c r="S176" i="56"/>
  <c r="O55" i="56"/>
  <c r="P32" i="56"/>
  <c r="I32" i="56"/>
  <c r="I55" i="56" s="1"/>
  <c r="L259" i="57"/>
  <c r="M259" i="57" s="1"/>
  <c r="N259" i="57"/>
  <c r="H83" i="56"/>
  <c r="O178" i="56"/>
  <c r="P178" i="56"/>
  <c r="Q178" i="56" s="1"/>
  <c r="R178" i="56" s="1"/>
  <c r="S178" i="56"/>
  <c r="F58" i="57"/>
  <c r="M59" i="57"/>
  <c r="Q40" i="56"/>
  <c r="K39" i="56"/>
  <c r="L260" i="57"/>
  <c r="M260" i="57" s="1"/>
  <c r="N260" i="57"/>
  <c r="P92" i="56"/>
  <c r="P76" i="56"/>
  <c r="Q43" i="56"/>
  <c r="W109" i="57"/>
  <c r="W86" i="57"/>
  <c r="W101" i="57"/>
  <c r="T110" i="57"/>
  <c r="T111" i="57" s="1"/>
  <c r="T51" i="57"/>
  <c r="U57" i="56"/>
  <c r="V34" i="56"/>
  <c r="V123" i="57"/>
  <c r="W82" i="57"/>
  <c r="W85" i="57" s="1"/>
  <c r="Q77" i="57"/>
  <c r="Q80" i="57" s="1"/>
  <c r="Q117" i="57" s="1"/>
  <c r="T99" i="56"/>
  <c r="T83" i="56"/>
  <c r="U77" i="56"/>
  <c r="U93" i="56"/>
  <c r="T161" i="57"/>
  <c r="T163" i="57"/>
  <c r="T162" i="57"/>
  <c r="T58" i="57"/>
  <c r="T59" i="57" s="1"/>
  <c r="T60" i="57" s="1"/>
  <c r="U52" i="56"/>
  <c r="V29" i="56"/>
  <c r="S151" i="57"/>
  <c r="S149" i="57"/>
  <c r="S150" i="57"/>
  <c r="R40" i="56"/>
  <c r="L39" i="56"/>
  <c r="L258" i="57"/>
  <c r="M258" i="57" s="1"/>
  <c r="N258" i="57"/>
  <c r="T100" i="56"/>
  <c r="T84" i="56"/>
  <c r="G166" i="57"/>
  <c r="G191" i="57"/>
  <c r="Q22" i="56"/>
  <c r="K22" i="56" s="1"/>
  <c r="J22" i="56"/>
  <c r="J60" i="56" s="1"/>
  <c r="V92" i="56"/>
  <c r="W43" i="56"/>
  <c r="V76" i="56"/>
  <c r="H193" i="57"/>
  <c r="H168" i="57"/>
  <c r="V108" i="57"/>
  <c r="V97" i="57"/>
  <c r="V81" i="57"/>
  <c r="W26" i="57"/>
  <c r="W55" i="57" s="1"/>
  <c r="U56" i="56"/>
  <c r="V33" i="56"/>
  <c r="M151" i="57"/>
  <c r="M150" i="57"/>
  <c r="M149" i="57"/>
  <c r="L121" i="56"/>
  <c r="K142" i="56" s="1"/>
  <c r="L181" i="56" s="1"/>
  <c r="N121" i="56"/>
  <c r="M142" i="56" s="1"/>
  <c r="N181" i="56" s="1"/>
  <c r="O58" i="56"/>
  <c r="P35" i="56"/>
  <c r="I35" i="56"/>
  <c r="I58" i="56" s="1"/>
  <c r="R107" i="56"/>
  <c r="R108" i="56"/>
  <c r="S106" i="56"/>
  <c r="R109" i="56"/>
  <c r="V46" i="56"/>
  <c r="V40" i="56"/>
  <c r="V47" i="56" s="1"/>
  <c r="V87" i="56" s="1"/>
  <c r="W39" i="56"/>
  <c r="P49" i="57"/>
  <c r="O57" i="57"/>
  <c r="O50" i="57"/>
  <c r="P23" i="56"/>
  <c r="I23" i="56"/>
  <c r="R254" i="57"/>
  <c r="R245" i="57"/>
  <c r="R246" i="57"/>
  <c r="R244" i="57"/>
  <c r="R247" i="57" s="1"/>
  <c r="Q225" i="57"/>
  <c r="R227" i="57"/>
  <c r="Q223" i="57"/>
  <c r="Q226" i="57" s="1"/>
  <c r="Q224" i="57"/>
  <c r="BG221" i="57"/>
  <c r="BH221" i="57" s="1"/>
  <c r="L193" i="57"/>
  <c r="BG207" i="57"/>
  <c r="BH207" i="57" s="1"/>
  <c r="U50" i="57"/>
  <c r="V49" i="57"/>
  <c r="U57" i="57"/>
  <c r="F252" i="57"/>
  <c r="H79" i="56"/>
  <c r="S174" i="56"/>
  <c r="O174" i="56"/>
  <c r="P174" i="56" s="1"/>
  <c r="Q174" i="56" s="1"/>
  <c r="R174" i="56" s="1"/>
  <c r="U58" i="56"/>
  <c r="V35" i="56"/>
  <c r="H85" i="56"/>
  <c r="O180" i="56"/>
  <c r="P180" i="56" s="1"/>
  <c r="Q180" i="56" s="1"/>
  <c r="R180" i="56" s="1"/>
  <c r="S180" i="56"/>
  <c r="H80" i="56"/>
  <c r="O175" i="56"/>
  <c r="P175" i="56" s="1"/>
  <c r="Q175" i="56" s="1"/>
  <c r="R175" i="56" s="1"/>
  <c r="S175" i="56"/>
  <c r="S153" i="57"/>
  <c r="S165" i="57" s="1"/>
  <c r="S155" i="57"/>
  <c r="S167" i="57" s="1"/>
  <c r="S152" i="57"/>
  <c r="S164" i="57" s="1"/>
  <c r="Q247" i="57"/>
  <c r="T101" i="56"/>
  <c r="T85" i="56"/>
  <c r="K233" i="57"/>
  <c r="L233" i="57" s="1"/>
  <c r="M233" i="57"/>
  <c r="I51" i="56"/>
  <c r="H82" i="56"/>
  <c r="S177" i="56"/>
  <c r="O177" i="56"/>
  <c r="P177" i="56" s="1"/>
  <c r="Q177" i="56" s="1"/>
  <c r="R177" i="56" s="1"/>
  <c r="U53" i="56"/>
  <c r="V30" i="56"/>
  <c r="U121" i="57"/>
  <c r="U129" i="57" s="1"/>
  <c r="U119" i="57"/>
  <c r="U127" i="57" s="1"/>
  <c r="U154" i="57" s="1"/>
  <c r="U166" i="57" s="1"/>
  <c r="U120" i="57"/>
  <c r="U128" i="57" s="1"/>
  <c r="U156" i="57" s="1"/>
  <c r="U168" i="57" s="1"/>
  <c r="P60" i="56"/>
  <c r="N93" i="56"/>
  <c r="N77" i="56"/>
  <c r="N101" i="56"/>
  <c r="N85" i="56"/>
  <c r="N51" i="57"/>
  <c r="N110" i="57"/>
  <c r="N111" i="57" s="1"/>
  <c r="F193" i="57"/>
  <c r="F168" i="57"/>
  <c r="U54" i="56"/>
  <c r="V31" i="56"/>
  <c r="T153" i="57"/>
  <c r="T165" i="57" s="1"/>
  <c r="T152" i="57"/>
  <c r="T164" i="57" s="1"/>
  <c r="T155" i="57"/>
  <c r="T167" i="57" s="1"/>
  <c r="P48" i="56"/>
  <c r="P47" i="56" s="1"/>
  <c r="P87" i="56" s="1"/>
  <c r="O46" i="56"/>
  <c r="J108" i="57"/>
  <c r="J97" i="57"/>
  <c r="J81" i="57"/>
  <c r="Q120" i="56"/>
  <c r="P141" i="56" s="1"/>
  <c r="Q119" i="56"/>
  <c r="P140" i="56" s="1"/>
  <c r="Q118" i="56"/>
  <c r="P139" i="56" s="1"/>
  <c r="Q117" i="56"/>
  <c r="P138" i="56" s="1"/>
  <c r="Q123" i="56"/>
  <c r="P144" i="56" s="1"/>
  <c r="Q183" i="56" s="1"/>
  <c r="Q111" i="56"/>
  <c r="P132" i="56" s="1"/>
  <c r="L256" i="57"/>
  <c r="M256" i="57" s="1"/>
  <c r="N256" i="57"/>
  <c r="O256" i="57" s="1"/>
  <c r="H57" i="57"/>
  <c r="G57" i="57"/>
  <c r="N58" i="57"/>
  <c r="N163" i="57"/>
  <c r="N162" i="57"/>
  <c r="N161" i="57"/>
  <c r="T97" i="56"/>
  <c r="T81" i="56"/>
  <c r="G168" i="57"/>
  <c r="G193" i="57"/>
  <c r="J235" i="57"/>
  <c r="E179" i="57"/>
  <c r="S209" i="57"/>
  <c r="R211" i="57"/>
  <c r="R198" i="57"/>
  <c r="R197" i="57"/>
  <c r="R196" i="57"/>
  <c r="R210" i="57"/>
  <c r="R212" i="57"/>
  <c r="I110" i="57"/>
  <c r="I111" i="57" s="1"/>
  <c r="I51" i="57"/>
  <c r="L255" i="57"/>
  <c r="M255" i="57" s="1"/>
  <c r="N255" i="57"/>
  <c r="F161" i="57"/>
  <c r="F45" i="57"/>
  <c r="F162" i="57"/>
  <c r="F163" i="57"/>
  <c r="J121" i="57"/>
  <c r="J119" i="57"/>
  <c r="J116" i="57"/>
  <c r="J124" i="57"/>
  <c r="J125" i="57"/>
  <c r="J115" i="57"/>
  <c r="J123" i="57"/>
  <c r="K205" i="57"/>
  <c r="M205" i="57"/>
  <c r="K219" i="57"/>
  <c r="L219" i="57" s="1"/>
  <c r="M219" i="57"/>
  <c r="L205" i="57"/>
  <c r="O231" i="57"/>
  <c r="O232" i="57"/>
  <c r="N99" i="56"/>
  <c r="N83" i="56"/>
  <c r="Q120" i="57"/>
  <c r="Q121" i="57"/>
  <c r="Q125" i="57"/>
  <c r="Q116" i="57"/>
  <c r="Q124" i="57"/>
  <c r="K64" i="57"/>
  <c r="K82" i="57" s="1"/>
  <c r="K85" i="57" s="1"/>
  <c r="N79" i="56"/>
  <c r="N95" i="56"/>
  <c r="P116" i="57"/>
  <c r="P128" i="57" s="1"/>
  <c r="P156" i="57" s="1"/>
  <c r="P168" i="57" s="1"/>
  <c r="J132" i="57"/>
  <c r="R24" i="56"/>
  <c r="L24" i="56" s="1"/>
  <c r="H24" i="56"/>
  <c r="X24" i="56"/>
  <c r="T24" i="56"/>
  <c r="U24" i="56" s="1"/>
  <c r="V24" i="56" s="1"/>
  <c r="W24" i="56" s="1"/>
  <c r="N24" i="56"/>
  <c r="O24" i="56" s="1"/>
  <c r="N80" i="56"/>
  <c r="N96" i="56"/>
  <c r="K206" i="57"/>
  <c r="L206" i="57" s="1"/>
  <c r="M220" i="57"/>
  <c r="M206" i="57"/>
  <c r="K220" i="57"/>
  <c r="L220" i="57" s="1"/>
  <c r="L43" i="56"/>
  <c r="K92" i="56"/>
  <c r="K76" i="56"/>
  <c r="AN171" i="56"/>
  <c r="AO171" i="56"/>
  <c r="AP171" i="56" s="1"/>
  <c r="AQ171" i="56" s="1"/>
  <c r="W137" i="57"/>
  <c r="P51" i="56"/>
  <c r="R28" i="56"/>
  <c r="Q28" i="56"/>
  <c r="J28" i="56"/>
  <c r="U78" i="56"/>
  <c r="U94" i="56"/>
  <c r="U55" i="56"/>
  <c r="V32" i="56"/>
  <c r="G103" i="56"/>
  <c r="G87" i="56"/>
  <c r="G89" i="56" s="1"/>
  <c r="F251" i="57"/>
  <c r="O258" i="57" s="1"/>
  <c r="Q108" i="57"/>
  <c r="Q97" i="57"/>
  <c r="Q81" i="57"/>
  <c r="K26" i="57"/>
  <c r="Q55" i="57"/>
  <c r="K55" i="57" s="1"/>
  <c r="J50" i="57"/>
  <c r="K49" i="57"/>
  <c r="K50" i="57" s="1"/>
  <c r="L257" i="57"/>
  <c r="M257" i="57"/>
  <c r="N257" i="57"/>
  <c r="N98" i="56"/>
  <c r="N82" i="56"/>
  <c r="H84" i="56"/>
  <c r="O179" i="56"/>
  <c r="S179" i="56"/>
  <c r="P179" i="56"/>
  <c r="Q179" i="56" s="1"/>
  <c r="R179" i="56" s="1"/>
  <c r="K109" i="57"/>
  <c r="K101" i="57"/>
  <c r="K86" i="57"/>
  <c r="W69" i="57"/>
  <c r="W124" i="57" s="1"/>
  <c r="W68" i="57"/>
  <c r="W123" i="57" s="1"/>
  <c r="V51" i="56"/>
  <c r="W28" i="56"/>
  <c r="P152" i="57"/>
  <c r="P164" i="57" s="1"/>
  <c r="O56" i="56"/>
  <c r="P33" i="56"/>
  <c r="P36" i="56" s="1"/>
  <c r="P59" i="56" s="1"/>
  <c r="P86" i="56" s="1"/>
  <c r="AC77" i="56" s="1"/>
  <c r="I33" i="56"/>
  <c r="I56" i="56" s="1"/>
  <c r="Q137" i="57"/>
  <c r="K138" i="57"/>
  <c r="P120" i="57"/>
  <c r="Q202" i="57"/>
  <c r="Q200" i="57"/>
  <c r="Q203" i="57"/>
  <c r="Q204" i="57"/>
  <c r="Q201" i="57"/>
  <c r="Q68" i="57"/>
  <c r="K68" i="57" s="1"/>
  <c r="Q69" i="57"/>
  <c r="K69" i="57" s="1"/>
  <c r="K70" i="57"/>
  <c r="W77" i="57"/>
  <c r="W80" i="57" s="1"/>
  <c r="W107" i="57"/>
  <c r="M173" i="57"/>
  <c r="J77" i="57"/>
  <c r="J80" i="57" s="1"/>
  <c r="J117" i="57" s="1"/>
  <c r="P258" i="57" l="1"/>
  <c r="J129" i="57"/>
  <c r="W125" i="57"/>
  <c r="AA76" i="56"/>
  <c r="AA78" i="56" s="1"/>
  <c r="AA80" i="56" s="1"/>
  <c r="Q115" i="56"/>
  <c r="P136" i="56" s="1"/>
  <c r="J120" i="57"/>
  <c r="O260" i="57"/>
  <c r="G192" i="57"/>
  <c r="N206" i="57" s="1"/>
  <c r="K87" i="57"/>
  <c r="K90" i="57" s="1"/>
  <c r="Q129" i="57"/>
  <c r="Q128" i="57"/>
  <c r="Q156" i="57" s="1"/>
  <c r="Q168" i="57" s="1"/>
  <c r="O255" i="57"/>
  <c r="P255" i="57" s="1"/>
  <c r="Q255" i="57" s="1"/>
  <c r="R255" i="57" s="1"/>
  <c r="K77" i="57"/>
  <c r="K80" i="57" s="1"/>
  <c r="K60" i="56"/>
  <c r="L60" i="56" s="1"/>
  <c r="M174" i="57"/>
  <c r="AG76" i="56"/>
  <c r="AG78" i="56" s="1"/>
  <c r="AG80" i="56" s="1"/>
  <c r="Q116" i="56"/>
  <c r="P137" i="56" s="1"/>
  <c r="O121" i="56"/>
  <c r="N142" i="56" s="1"/>
  <c r="O181" i="56" s="1"/>
  <c r="Q113" i="56"/>
  <c r="P134" i="56" s="1"/>
  <c r="Q112" i="56"/>
  <c r="P133" i="56" s="1"/>
  <c r="M181" i="57"/>
  <c r="M182" i="57" s="1"/>
  <c r="I151" i="57"/>
  <c r="I188" i="57" s="1"/>
  <c r="G250" i="57"/>
  <c r="I150" i="57"/>
  <c r="I187" i="57" s="1"/>
  <c r="G248" i="57"/>
  <c r="I149" i="57"/>
  <c r="I186" i="57" s="1"/>
  <c r="G249" i="57"/>
  <c r="J155" i="57"/>
  <c r="J153" i="57"/>
  <c r="Q155" i="57"/>
  <c r="Q167" i="57" s="1"/>
  <c r="Q153" i="57"/>
  <c r="Q165" i="57" s="1"/>
  <c r="N151" i="57"/>
  <c r="N150" i="57"/>
  <c r="N149" i="57"/>
  <c r="N233" i="57"/>
  <c r="O233" i="57" s="1"/>
  <c r="P233" i="57" s="1"/>
  <c r="Q233" i="57" s="1"/>
  <c r="H89" i="56"/>
  <c r="O79" i="56"/>
  <c r="O95" i="56"/>
  <c r="Q217" i="57"/>
  <c r="Q216" i="57"/>
  <c r="Q215" i="57"/>
  <c r="Q214" i="57"/>
  <c r="Q218" i="57"/>
  <c r="I155" i="57"/>
  <c r="I153" i="57"/>
  <c r="J152" i="57"/>
  <c r="L28" i="56"/>
  <c r="Q119" i="57"/>
  <c r="G162" i="57"/>
  <c r="G163" i="57"/>
  <c r="G45" i="57"/>
  <c r="G161" i="57"/>
  <c r="Q48" i="56"/>
  <c r="P46" i="56"/>
  <c r="U96" i="56"/>
  <c r="U80" i="56"/>
  <c r="P260" i="57"/>
  <c r="Q260" i="57" s="1"/>
  <c r="R260" i="57" s="1"/>
  <c r="O259" i="57"/>
  <c r="P259" i="57" s="1"/>
  <c r="Q259" i="57" s="1"/>
  <c r="R259" i="57" s="1"/>
  <c r="V93" i="56"/>
  <c r="V77" i="56"/>
  <c r="I84" i="56"/>
  <c r="I100" i="56"/>
  <c r="AC179" i="56"/>
  <c r="U179" i="56"/>
  <c r="V179" i="56" s="1"/>
  <c r="W179" i="56" s="1"/>
  <c r="X179" i="56" s="1"/>
  <c r="Y179" i="56" s="1"/>
  <c r="Z179" i="56" s="1"/>
  <c r="AA179" i="56" s="1"/>
  <c r="AB179" i="56" s="1"/>
  <c r="T179" i="56"/>
  <c r="H192" i="57"/>
  <c r="M192" i="57" s="1"/>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H167" i="57"/>
  <c r="H191" i="57"/>
  <c r="M191" i="57" s="1"/>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H166" i="57"/>
  <c r="P94" i="56"/>
  <c r="P78" i="56"/>
  <c r="P57" i="56"/>
  <c r="R34" i="56"/>
  <c r="Q34" i="56"/>
  <c r="J34" i="56"/>
  <c r="J57" i="56" s="1"/>
  <c r="H189" i="57"/>
  <c r="M189" i="57" s="1"/>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H164" i="57"/>
  <c r="H190" i="57"/>
  <c r="M190" i="57" s="1"/>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H165" i="57"/>
  <c r="Q258" i="57"/>
  <c r="R258" i="57" s="1"/>
  <c r="Q256" i="57"/>
  <c r="I97" i="56"/>
  <c r="I81" i="56"/>
  <c r="T176" i="56"/>
  <c r="U176" i="56" s="1"/>
  <c r="V176" i="56" s="1"/>
  <c r="W176" i="56" s="1"/>
  <c r="X176" i="56" s="1"/>
  <c r="Y176" i="56" s="1"/>
  <c r="Z176" i="56" s="1"/>
  <c r="AA176" i="56" s="1"/>
  <c r="AB176" i="56" s="1"/>
  <c r="AC176" i="56"/>
  <c r="P232" i="57"/>
  <c r="P231" i="57"/>
  <c r="Q30" i="56"/>
  <c r="P53" i="56"/>
  <c r="R30" i="56"/>
  <c r="J30" i="56"/>
  <c r="J53" i="56" s="1"/>
  <c r="O77" i="56"/>
  <c r="O93" i="56"/>
  <c r="K46" i="56"/>
  <c r="K40" i="56"/>
  <c r="K47" i="56" s="1"/>
  <c r="V50" i="57"/>
  <c r="W49" i="57"/>
  <c r="V57" i="57"/>
  <c r="V56" i="56"/>
  <c r="W33" i="56"/>
  <c r="J103" i="56"/>
  <c r="J87" i="56"/>
  <c r="K230" i="57"/>
  <c r="L230" i="57" s="1"/>
  <c r="M230" i="57"/>
  <c r="N89" i="56"/>
  <c r="N73" i="56" s="1"/>
  <c r="U51" i="57"/>
  <c r="U110" i="57"/>
  <c r="U111" i="57" s="1"/>
  <c r="U99" i="56"/>
  <c r="U83" i="56"/>
  <c r="U79" i="56"/>
  <c r="U95" i="56"/>
  <c r="R31" i="56"/>
  <c r="Q31" i="56"/>
  <c r="P54" i="56"/>
  <c r="J31" i="56"/>
  <c r="J54" i="56" s="1"/>
  <c r="K132" i="57"/>
  <c r="O257" i="57"/>
  <c r="P257" i="57" s="1"/>
  <c r="Q257" i="57" s="1"/>
  <c r="R257" i="57" s="1"/>
  <c r="O96" i="56"/>
  <c r="O80" i="56"/>
  <c r="Q152" i="57"/>
  <c r="Q164" i="57" s="1"/>
  <c r="N234" i="57"/>
  <c r="O234" i="57" s="1"/>
  <c r="P234" i="57" s="1"/>
  <c r="Q234" i="57" s="1"/>
  <c r="H163" i="57"/>
  <c r="H45" i="57"/>
  <c r="H162" i="57"/>
  <c r="H161" i="57"/>
  <c r="V58" i="56"/>
  <c r="W35" i="56"/>
  <c r="J110" i="57"/>
  <c r="J51" i="57"/>
  <c r="U101" i="56"/>
  <c r="U85" i="56"/>
  <c r="O99" i="56"/>
  <c r="O83" i="56"/>
  <c r="S109" i="56"/>
  <c r="S108" i="56"/>
  <c r="T106" i="56"/>
  <c r="S107" i="56"/>
  <c r="S110" i="56" s="1"/>
  <c r="V52" i="56"/>
  <c r="W29" i="56"/>
  <c r="Q47" i="56"/>
  <c r="Q87" i="56" s="1"/>
  <c r="W51" i="56"/>
  <c r="X28" i="56"/>
  <c r="L122" i="56"/>
  <c r="K143" i="56" s="1"/>
  <c r="L182" i="56" s="1"/>
  <c r="M122" i="56"/>
  <c r="L143" i="56" s="1"/>
  <c r="M182" i="56" s="1"/>
  <c r="N122" i="56"/>
  <c r="M143" i="56" s="1"/>
  <c r="N182" i="56" s="1"/>
  <c r="K123" i="57"/>
  <c r="K125" i="57"/>
  <c r="K124" i="57"/>
  <c r="K229" i="57"/>
  <c r="L229" i="57" s="1"/>
  <c r="M229" i="57"/>
  <c r="R213" i="57"/>
  <c r="R110" i="56"/>
  <c r="S169" i="57"/>
  <c r="S175" i="57" s="1"/>
  <c r="I82" i="56"/>
  <c r="I98" i="56"/>
  <c r="AC177" i="56"/>
  <c r="T177" i="56"/>
  <c r="U177" i="56" s="1"/>
  <c r="V177" i="56" s="1"/>
  <c r="W177" i="56" s="1"/>
  <c r="X177" i="56" s="1"/>
  <c r="Y177" i="56" s="1"/>
  <c r="Z177" i="56" s="1"/>
  <c r="AA177" i="56" s="1"/>
  <c r="AB177" i="56" s="1"/>
  <c r="O97" i="56"/>
  <c r="O81" i="56"/>
  <c r="M179" i="57"/>
  <c r="M177" i="57"/>
  <c r="M175" i="57"/>
  <c r="M176" i="57"/>
  <c r="M178" i="57"/>
  <c r="J51" i="56"/>
  <c r="V53" i="56"/>
  <c r="W30" i="56"/>
  <c r="S246" i="57"/>
  <c r="S244" i="57"/>
  <c r="S254" i="57"/>
  <c r="R224" i="57"/>
  <c r="S245" i="57"/>
  <c r="S227" i="57"/>
  <c r="R223" i="57"/>
  <c r="R225" i="57"/>
  <c r="I83" i="56"/>
  <c r="I99" i="56"/>
  <c r="AC178" i="56"/>
  <c r="T178" i="56"/>
  <c r="U178" i="56" s="1"/>
  <c r="V178" i="56" s="1"/>
  <c r="W178" i="56" s="1"/>
  <c r="X178" i="56" s="1"/>
  <c r="Y178" i="56" s="1"/>
  <c r="Z178" i="56" s="1"/>
  <c r="AA178" i="56" s="1"/>
  <c r="AB178" i="56" s="1"/>
  <c r="V36" i="56"/>
  <c r="V59" i="56" s="1"/>
  <c r="V86" i="56" s="1"/>
  <c r="AI77" i="56" s="1"/>
  <c r="V55" i="56"/>
  <c r="W32" i="56"/>
  <c r="P24" i="56"/>
  <c r="I24" i="56"/>
  <c r="Q123" i="57"/>
  <c r="R199" i="57"/>
  <c r="V54" i="56"/>
  <c r="W31" i="56"/>
  <c r="Q60" i="56"/>
  <c r="R60" i="56" s="1"/>
  <c r="R51" i="56" s="1"/>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Q23" i="56"/>
  <c r="K23" i="56" s="1"/>
  <c r="J23" i="56"/>
  <c r="I101" i="56"/>
  <c r="I85" i="56"/>
  <c r="T180" i="56"/>
  <c r="U180" i="56" s="1"/>
  <c r="V180" i="56" s="1"/>
  <c r="W180" i="56" s="1"/>
  <c r="X180" i="56" s="1"/>
  <c r="Y180" i="56" s="1"/>
  <c r="Z180" i="56" s="1"/>
  <c r="AA180" i="56" s="1"/>
  <c r="AB180" i="56" s="1"/>
  <c r="AC180" i="56"/>
  <c r="W81" i="57"/>
  <c r="W121" i="57" s="1"/>
  <c r="W129" i="57" s="1"/>
  <c r="W108" i="57"/>
  <c r="W97" i="57"/>
  <c r="Q92" i="56"/>
  <c r="Q76" i="56"/>
  <c r="R43" i="56"/>
  <c r="M60" i="57"/>
  <c r="F60" i="57" s="1"/>
  <c r="F59" i="57"/>
  <c r="P55" i="56"/>
  <c r="R32" i="56"/>
  <c r="Q32" i="56"/>
  <c r="J32" i="56"/>
  <c r="J55" i="56" s="1"/>
  <c r="W115" i="57"/>
  <c r="T89" i="56"/>
  <c r="E181" i="57"/>
  <c r="E182" i="57" s="1"/>
  <c r="S212" i="57"/>
  <c r="S197" i="57"/>
  <c r="S211" i="57"/>
  <c r="S198" i="57"/>
  <c r="T209" i="57"/>
  <c r="S196" i="57"/>
  <c r="S199" i="57" s="1"/>
  <c r="S210" i="57"/>
  <c r="S213" i="57" s="1"/>
  <c r="H58" i="57"/>
  <c r="G58" i="57"/>
  <c r="N59" i="57"/>
  <c r="J128" i="57"/>
  <c r="J156" i="57" s="1"/>
  <c r="R256" i="57"/>
  <c r="W116" i="57"/>
  <c r="J93" i="56"/>
  <c r="J77" i="56"/>
  <c r="AM172" i="56"/>
  <c r="AD172" i="56"/>
  <c r="AE172" i="56" s="1"/>
  <c r="AF172" i="56" s="1"/>
  <c r="AG172" i="56" s="1"/>
  <c r="AH172" i="56" s="1"/>
  <c r="AI172" i="56" s="1"/>
  <c r="AJ172" i="56" s="1"/>
  <c r="AK172" i="56" s="1"/>
  <c r="AL172" i="56" s="1"/>
  <c r="F169" i="57"/>
  <c r="F173" i="57" s="1"/>
  <c r="K228" i="57"/>
  <c r="L228" i="57" s="1"/>
  <c r="M228" i="57"/>
  <c r="U97" i="56"/>
  <c r="U81" i="56"/>
  <c r="I36" i="56"/>
  <c r="I59" i="56" s="1"/>
  <c r="O110" i="57"/>
  <c r="O111" i="57" s="1"/>
  <c r="O51" i="57"/>
  <c r="P58" i="56"/>
  <c r="R35" i="56"/>
  <c r="Q35" i="56"/>
  <c r="J35" i="56"/>
  <c r="J58" i="56" s="1"/>
  <c r="V121" i="57"/>
  <c r="V129" i="57" s="1"/>
  <c r="V120" i="57"/>
  <c r="V119" i="57"/>
  <c r="V127" i="57" s="1"/>
  <c r="V154" i="57" s="1"/>
  <c r="V166" i="57" s="1"/>
  <c r="V57" i="56"/>
  <c r="W34" i="56"/>
  <c r="O82" i="56"/>
  <c r="O98" i="56"/>
  <c r="G252" i="57"/>
  <c r="P25" i="56"/>
  <c r="I25" i="56"/>
  <c r="I104" i="56" s="1"/>
  <c r="K28" i="56"/>
  <c r="N61" i="57"/>
  <c r="I96" i="56"/>
  <c r="I80" i="56"/>
  <c r="AC175" i="56"/>
  <c r="T175" i="56"/>
  <c r="U175" i="56" s="1"/>
  <c r="V175" i="56" s="1"/>
  <c r="W175" i="56" s="1"/>
  <c r="X175" i="56" s="1"/>
  <c r="Y175" i="56" s="1"/>
  <c r="Z175" i="56" s="1"/>
  <c r="AA175" i="56" s="1"/>
  <c r="AB175" i="56" s="1"/>
  <c r="U82" i="56"/>
  <c r="U98" i="56"/>
  <c r="J127" i="57"/>
  <c r="J154" i="57" s="1"/>
  <c r="N169" i="57"/>
  <c r="N172" i="57" s="1"/>
  <c r="I78" i="56"/>
  <c r="I94" i="56"/>
  <c r="T173" i="56"/>
  <c r="U173" i="56" s="1"/>
  <c r="V173" i="56" s="1"/>
  <c r="W173" i="56" s="1"/>
  <c r="X173" i="56" s="1"/>
  <c r="Y173" i="56" s="1"/>
  <c r="Z173" i="56" s="1"/>
  <c r="AA173" i="56" s="1"/>
  <c r="AB173" i="56" s="1"/>
  <c r="AC173" i="56"/>
  <c r="I57" i="57"/>
  <c r="O163" i="57"/>
  <c r="O162" i="57"/>
  <c r="O161" i="57"/>
  <c r="O58" i="57"/>
  <c r="O61" i="57" s="1"/>
  <c r="I61" i="57" s="1"/>
  <c r="O85" i="56"/>
  <c r="O101" i="56"/>
  <c r="G253" i="57"/>
  <c r="T172" i="57"/>
  <c r="T169" i="57"/>
  <c r="T176" i="57" s="1"/>
  <c r="U84" i="56"/>
  <c r="U100" i="56"/>
  <c r="V128" i="57"/>
  <c r="V156" i="57" s="1"/>
  <c r="V168" i="57" s="1"/>
  <c r="K110" i="57"/>
  <c r="K51" i="57"/>
  <c r="W92" i="56"/>
  <c r="W76" i="56"/>
  <c r="X43" i="56"/>
  <c r="K93" i="57"/>
  <c r="K117" i="57" s="1"/>
  <c r="K107" i="57"/>
  <c r="K75" i="57"/>
  <c r="P56" i="56"/>
  <c r="R33" i="56"/>
  <c r="Q33" i="56"/>
  <c r="J33" i="56"/>
  <c r="J56" i="56" s="1"/>
  <c r="U161" i="57"/>
  <c r="U162" i="57"/>
  <c r="U163" i="57"/>
  <c r="U58" i="57"/>
  <c r="U59" i="57" s="1"/>
  <c r="U60" i="57" s="1"/>
  <c r="O84" i="56"/>
  <c r="O100" i="56"/>
  <c r="V94" i="56"/>
  <c r="V78" i="56"/>
  <c r="K97" i="57"/>
  <c r="K108" i="57"/>
  <c r="K81" i="57"/>
  <c r="K120" i="57" s="1"/>
  <c r="F179" i="57"/>
  <c r="K235" i="57"/>
  <c r="L235" i="57"/>
  <c r="M235" i="57"/>
  <c r="N235" i="57" s="1"/>
  <c r="O235" i="57" s="1"/>
  <c r="P235" i="57" s="1"/>
  <c r="Q235" i="57" s="1"/>
  <c r="K137" i="57"/>
  <c r="L92" i="56"/>
  <c r="L76" i="56"/>
  <c r="Q115" i="57"/>
  <c r="Q114" i="56"/>
  <c r="P135" i="56" s="1"/>
  <c r="K207" i="57"/>
  <c r="L207" i="57" s="1"/>
  <c r="M207" i="57"/>
  <c r="N207" i="57" s="1"/>
  <c r="O207" i="57" s="1"/>
  <c r="P207" i="57" s="1"/>
  <c r="Q207" i="57" s="1"/>
  <c r="M221" i="57"/>
  <c r="N221" i="57" s="1"/>
  <c r="O221" i="57" s="1"/>
  <c r="P221" i="57" s="1"/>
  <c r="Q221" i="57" s="1"/>
  <c r="K221" i="57"/>
  <c r="L221" i="57" s="1"/>
  <c r="U155" i="57"/>
  <c r="U167" i="57" s="1"/>
  <c r="U153" i="57"/>
  <c r="U165" i="57" s="1"/>
  <c r="U152" i="57"/>
  <c r="U164" i="57" s="1"/>
  <c r="P57" i="57"/>
  <c r="P50" i="57"/>
  <c r="Q49" i="57"/>
  <c r="L40" i="56"/>
  <c r="L47" i="56" s="1"/>
  <c r="L46" i="56"/>
  <c r="T61" i="57"/>
  <c r="I152" i="57"/>
  <c r="I95" i="56"/>
  <c r="I79" i="56"/>
  <c r="T174" i="56"/>
  <c r="U174" i="56"/>
  <c r="V174" i="56" s="1"/>
  <c r="W174" i="56" s="1"/>
  <c r="X174" i="56" s="1"/>
  <c r="Y174" i="56" s="1"/>
  <c r="Z174" i="56" s="1"/>
  <c r="AA174" i="56" s="1"/>
  <c r="AB174" i="56" s="1"/>
  <c r="AC174" i="56"/>
  <c r="P121" i="56"/>
  <c r="O142" i="56" s="1"/>
  <c r="P181" i="56" s="1"/>
  <c r="K54" i="57"/>
  <c r="J111" i="57"/>
  <c r="H249" i="57" s="1"/>
  <c r="I191" i="57"/>
  <c r="I166" i="57"/>
  <c r="Q232" i="57"/>
  <c r="Q231" i="57"/>
  <c r="X39" i="56"/>
  <c r="W46" i="56"/>
  <c r="W40" i="56"/>
  <c r="W47" i="56" s="1"/>
  <c r="W87" i="56" s="1"/>
  <c r="M121" i="56"/>
  <c r="L142" i="56" s="1"/>
  <c r="M181" i="56" s="1"/>
  <c r="N205" i="57"/>
  <c r="N219" i="57"/>
  <c r="O219" i="57" s="1"/>
  <c r="P219" i="57" s="1"/>
  <c r="Q219" i="57" s="1"/>
  <c r="O205" i="57"/>
  <c r="P205" i="57"/>
  <c r="Q205" i="57" s="1"/>
  <c r="T150" i="57"/>
  <c r="T151" i="57"/>
  <c r="T149" i="57"/>
  <c r="R29" i="56"/>
  <c r="Q29" i="56"/>
  <c r="P52" i="56"/>
  <c r="J29" i="56"/>
  <c r="J52" i="56" s="1"/>
  <c r="I168" i="57"/>
  <c r="I193" i="57"/>
  <c r="G251" i="57"/>
  <c r="K116" i="57" l="1"/>
  <c r="H251" i="57"/>
  <c r="S176" i="57"/>
  <c r="O122" i="56"/>
  <c r="N143" i="56" s="1"/>
  <c r="O182" i="56" s="1"/>
  <c r="O206" i="57"/>
  <c r="P206" i="57" s="1"/>
  <c r="Q206" i="57" s="1"/>
  <c r="K115" i="57"/>
  <c r="F172" i="57"/>
  <c r="W36" i="56"/>
  <c r="W59" i="56" s="1"/>
  <c r="W86" i="56" s="1"/>
  <c r="AJ77" i="56" s="1"/>
  <c r="N220" i="57"/>
  <c r="O220" i="57" s="1"/>
  <c r="P220" i="57" s="1"/>
  <c r="Q220" i="57" s="1"/>
  <c r="Q51" i="56"/>
  <c r="AH76" i="56"/>
  <c r="AH78" i="56" s="1"/>
  <c r="AH80" i="56" s="1"/>
  <c r="AB76" i="56"/>
  <c r="AB78" i="56" s="1"/>
  <c r="AB80" i="56" s="1"/>
  <c r="Q121" i="56"/>
  <c r="P142" i="56" s="1"/>
  <c r="Q181" i="56" s="1"/>
  <c r="N173" i="57"/>
  <c r="N174" i="57"/>
  <c r="N181" i="57"/>
  <c r="N182" i="57" s="1"/>
  <c r="W155" i="57"/>
  <c r="W167" i="57" s="1"/>
  <c r="W153" i="57"/>
  <c r="W165" i="57" s="1"/>
  <c r="W152" i="57"/>
  <c r="W164" i="57" s="1"/>
  <c r="R78" i="56"/>
  <c r="R94" i="56"/>
  <c r="N229" i="57"/>
  <c r="O229" i="57" s="1"/>
  <c r="P229" i="57" s="1"/>
  <c r="Q229" i="57" s="1"/>
  <c r="I190" i="57"/>
  <c r="I165" i="57"/>
  <c r="R52" i="56"/>
  <c r="L29" i="56"/>
  <c r="L52" i="56" s="1"/>
  <c r="J99" i="56"/>
  <c r="J83" i="56"/>
  <c r="AD178" i="56"/>
  <c r="AE178" i="56" s="1"/>
  <c r="AF178" i="56" s="1"/>
  <c r="AG178" i="56" s="1"/>
  <c r="AH178" i="56" s="1"/>
  <c r="AI178" i="56" s="1"/>
  <c r="AJ178" i="56" s="1"/>
  <c r="AK178" i="56" s="1"/>
  <c r="AL178" i="56" s="1"/>
  <c r="AM178" i="56"/>
  <c r="K51" i="56"/>
  <c r="W57" i="56"/>
  <c r="X34" i="56"/>
  <c r="X57" i="56" s="1"/>
  <c r="R76" i="56"/>
  <c r="R92" i="56"/>
  <c r="R207" i="57"/>
  <c r="R205" i="57"/>
  <c r="R202" i="57"/>
  <c r="R203" i="57"/>
  <c r="R201" i="57"/>
  <c r="S201" i="57" s="1"/>
  <c r="R200" i="57"/>
  <c r="S200" i="57" s="1"/>
  <c r="R204" i="57"/>
  <c r="S204" i="57" s="1"/>
  <c r="R206" i="57"/>
  <c r="S206" i="57" s="1"/>
  <c r="P97" i="56"/>
  <c r="P81" i="56"/>
  <c r="W56" i="56"/>
  <c r="X33" i="56"/>
  <c r="X56" i="56" s="1"/>
  <c r="R53" i="56"/>
  <c r="L30" i="56"/>
  <c r="L53" i="56" s="1"/>
  <c r="I167" i="57"/>
  <c r="I192" i="57"/>
  <c r="I102" i="56"/>
  <c r="I86" i="56"/>
  <c r="J79" i="56"/>
  <c r="J95" i="56"/>
  <c r="AM174" i="56"/>
  <c r="AD174" i="56"/>
  <c r="AE174" i="56" s="1"/>
  <c r="AF174" i="56" s="1"/>
  <c r="AG174" i="56" s="1"/>
  <c r="AH174" i="56" s="1"/>
  <c r="AI174" i="56" s="1"/>
  <c r="AJ174" i="56" s="1"/>
  <c r="AK174" i="56" s="1"/>
  <c r="AL174" i="56" s="1"/>
  <c r="L103" i="56"/>
  <c r="L87" i="56"/>
  <c r="J96" i="56"/>
  <c r="J80" i="56"/>
  <c r="AD175" i="56"/>
  <c r="AE175" i="56" s="1"/>
  <c r="AF175" i="56" s="1"/>
  <c r="AG175" i="56" s="1"/>
  <c r="AH175" i="56" s="1"/>
  <c r="AI175" i="56" s="1"/>
  <c r="AJ175" i="56" s="1"/>
  <c r="AK175" i="56" s="1"/>
  <c r="AL175" i="56" s="1"/>
  <c r="AM175" i="56"/>
  <c r="Q55" i="56"/>
  <c r="K32" i="56"/>
  <c r="K55" i="56" s="1"/>
  <c r="J36" i="56"/>
  <c r="J59" i="56" s="1"/>
  <c r="U61" i="57"/>
  <c r="V97" i="56"/>
  <c r="V81" i="56"/>
  <c r="T245" i="57"/>
  <c r="T244" i="57"/>
  <c r="T246" i="57"/>
  <c r="T227" i="57"/>
  <c r="S223" i="57"/>
  <c r="S225" i="57"/>
  <c r="S224" i="57"/>
  <c r="T254" i="57"/>
  <c r="J81" i="56"/>
  <c r="J97" i="56"/>
  <c r="AD176" i="56"/>
  <c r="AE176" i="56" s="1"/>
  <c r="AF176" i="56" s="1"/>
  <c r="AG176" i="56" s="1"/>
  <c r="AH176" i="56" s="1"/>
  <c r="AI176" i="56" s="1"/>
  <c r="AJ176" i="56" s="1"/>
  <c r="AK176" i="56" s="1"/>
  <c r="AL176" i="56" s="1"/>
  <c r="AM176" i="56"/>
  <c r="Q78" i="56"/>
  <c r="Q94" i="56"/>
  <c r="V100" i="56"/>
  <c r="V84" i="56"/>
  <c r="R56" i="56"/>
  <c r="L33" i="56"/>
  <c r="L56" i="56" s="1"/>
  <c r="W58" i="56"/>
  <c r="X35" i="56"/>
  <c r="X58" i="56" s="1"/>
  <c r="V162" i="57"/>
  <c r="V58" i="57"/>
  <c r="V59" i="57" s="1"/>
  <c r="V60" i="57" s="1"/>
  <c r="V161" i="57"/>
  <c r="V163" i="57"/>
  <c r="Q53" i="56"/>
  <c r="K30" i="56"/>
  <c r="K53" i="56" s="1"/>
  <c r="P83" i="56"/>
  <c r="P99" i="56"/>
  <c r="P122" i="56"/>
  <c r="O88" i="56"/>
  <c r="U88" i="56" s="1"/>
  <c r="U89" i="56" s="1"/>
  <c r="I88" i="56"/>
  <c r="I89" i="56" s="1"/>
  <c r="T174" i="57"/>
  <c r="N60" i="57"/>
  <c r="H59" i="57"/>
  <c r="G59" i="57"/>
  <c r="Q24" i="56"/>
  <c r="K24" i="56" s="1"/>
  <c r="J24" i="56"/>
  <c r="S247" i="57"/>
  <c r="K121" i="57"/>
  <c r="S123" i="56"/>
  <c r="S113" i="56"/>
  <c r="R134" i="56" s="1"/>
  <c r="S120" i="56"/>
  <c r="S122" i="56"/>
  <c r="R143" i="56" s="1"/>
  <c r="S182" i="56" s="1"/>
  <c r="S119" i="56"/>
  <c r="S118" i="56"/>
  <c r="R139" i="56" s="1"/>
  <c r="S117" i="56"/>
  <c r="S121" i="56"/>
  <c r="R142" i="56" s="1"/>
  <c r="S181" i="56" s="1"/>
  <c r="S114" i="56"/>
  <c r="R135" i="56" s="1"/>
  <c r="S115" i="56"/>
  <c r="S112" i="56"/>
  <c r="S116" i="56"/>
  <c r="S111" i="56"/>
  <c r="R132" i="56" s="1"/>
  <c r="V85" i="56"/>
  <c r="V101" i="56"/>
  <c r="W57" i="57"/>
  <c r="W50" i="57"/>
  <c r="R57" i="56"/>
  <c r="L34" i="56"/>
  <c r="L57" i="56" s="1"/>
  <c r="I189" i="57"/>
  <c r="I164" i="57"/>
  <c r="S203" i="57"/>
  <c r="S205" i="57"/>
  <c r="S202" i="57"/>
  <c r="S207" i="57"/>
  <c r="K128" i="57"/>
  <c r="K156" i="57" s="1"/>
  <c r="Q56" i="56"/>
  <c r="K33" i="56"/>
  <c r="K56" i="56" s="1"/>
  <c r="I162" i="57"/>
  <c r="I161" i="57"/>
  <c r="I45" i="57"/>
  <c r="I163" i="57"/>
  <c r="Q54" i="56"/>
  <c r="K31" i="56"/>
  <c r="K54" i="56" s="1"/>
  <c r="Q57" i="56"/>
  <c r="K34" i="56"/>
  <c r="K57" i="56" s="1"/>
  <c r="Q25" i="56"/>
  <c r="K25" i="56" s="1"/>
  <c r="J25" i="56"/>
  <c r="J104" i="56" s="1"/>
  <c r="F176" i="57"/>
  <c r="F175" i="57"/>
  <c r="F178" i="57"/>
  <c r="F177" i="57"/>
  <c r="T173" i="57"/>
  <c r="T181" i="57" s="1"/>
  <c r="T182" i="57" s="1"/>
  <c r="T183" i="57" s="1"/>
  <c r="W55" i="56"/>
  <c r="X32" i="56"/>
  <c r="X55" i="56" s="1"/>
  <c r="K119" i="57"/>
  <c r="K127" i="57" s="1"/>
  <c r="T108" i="56"/>
  <c r="U106" i="56"/>
  <c r="T109" i="56"/>
  <c r="T107" i="56"/>
  <c r="T110" i="56" s="1"/>
  <c r="H169" i="57"/>
  <c r="H179" i="57" s="1"/>
  <c r="W120" i="57"/>
  <c r="W128" i="57" s="1"/>
  <c r="W156" i="57" s="1"/>
  <c r="W168" i="57" s="1"/>
  <c r="V110" i="57"/>
  <c r="V111" i="57" s="1"/>
  <c r="V51" i="57"/>
  <c r="P100" i="56"/>
  <c r="P84" i="56"/>
  <c r="W78" i="56"/>
  <c r="W94" i="56"/>
  <c r="H248" i="57"/>
  <c r="J57" i="57"/>
  <c r="P163" i="57"/>
  <c r="P162" i="57"/>
  <c r="P58" i="57"/>
  <c r="P61" i="57" s="1"/>
  <c r="J61" i="57" s="1"/>
  <c r="P161" i="57"/>
  <c r="Q52" i="56"/>
  <c r="K29" i="56"/>
  <c r="K52" i="56" s="1"/>
  <c r="H61" i="57"/>
  <c r="G61" i="57"/>
  <c r="V99" i="56"/>
  <c r="V83" i="56"/>
  <c r="P96" i="56"/>
  <c r="P80" i="56"/>
  <c r="J84" i="56"/>
  <c r="J100" i="56"/>
  <c r="AM179" i="56"/>
  <c r="AD179" i="56"/>
  <c r="AE179" i="56" s="1"/>
  <c r="AF179" i="56" s="1"/>
  <c r="AG179" i="56" s="1"/>
  <c r="AH179" i="56" s="1"/>
  <c r="AI179" i="56" s="1"/>
  <c r="AJ179" i="56" s="1"/>
  <c r="AK179" i="56" s="1"/>
  <c r="AL179" i="56" s="1"/>
  <c r="Q36" i="56"/>
  <c r="Q59" i="56" s="1"/>
  <c r="Q86" i="56" s="1"/>
  <c r="AD77" i="56" s="1"/>
  <c r="R54" i="56"/>
  <c r="L31" i="56"/>
  <c r="L54" i="56" s="1"/>
  <c r="K111" i="57"/>
  <c r="I249" i="57" s="1"/>
  <c r="N176" i="57"/>
  <c r="N178" i="57"/>
  <c r="N175" i="57"/>
  <c r="N177" i="57"/>
  <c r="N179" i="57"/>
  <c r="F181" i="57"/>
  <c r="F182" i="57" s="1"/>
  <c r="V82" i="56"/>
  <c r="V98" i="56"/>
  <c r="W53" i="56"/>
  <c r="X30" i="56"/>
  <c r="X53" i="56" s="1"/>
  <c r="S178" i="57"/>
  <c r="X51" i="56"/>
  <c r="H173" i="57"/>
  <c r="U150" i="57"/>
  <c r="U151" i="57"/>
  <c r="U149" i="57"/>
  <c r="F174" i="57"/>
  <c r="K87" i="56"/>
  <c r="K103" i="56"/>
  <c r="T178" i="57"/>
  <c r="Q50" i="57"/>
  <c r="Q57" i="57"/>
  <c r="J193" i="57"/>
  <c r="J168" i="57"/>
  <c r="J191" i="57"/>
  <c r="J166" i="57"/>
  <c r="V155" i="57"/>
  <c r="V167" i="57" s="1"/>
  <c r="V153" i="57"/>
  <c r="V165" i="57" s="1"/>
  <c r="V152" i="57"/>
  <c r="V164" i="57" s="1"/>
  <c r="O151" i="57"/>
  <c r="O150" i="57"/>
  <c r="O149" i="57"/>
  <c r="H253" i="57"/>
  <c r="S220" i="57"/>
  <c r="J98" i="56"/>
  <c r="J82" i="56"/>
  <c r="AM177" i="56"/>
  <c r="AD177" i="56"/>
  <c r="AE177" i="56" s="1"/>
  <c r="AF177" i="56" s="1"/>
  <c r="AG177" i="56" s="1"/>
  <c r="AH177" i="56" s="1"/>
  <c r="AI177" i="56" s="1"/>
  <c r="AJ177" i="56" s="1"/>
  <c r="AK177" i="56" s="1"/>
  <c r="AL177" i="56" s="1"/>
  <c r="V80" i="56"/>
  <c r="V96" i="56"/>
  <c r="K93" i="56"/>
  <c r="K77" i="56"/>
  <c r="AN172" i="56"/>
  <c r="AO172" i="56"/>
  <c r="AP172" i="56" s="1"/>
  <c r="AQ172" i="56" s="1"/>
  <c r="P93" i="56"/>
  <c r="P77" i="56"/>
  <c r="L51" i="56"/>
  <c r="J101" i="56"/>
  <c r="J85" i="56"/>
  <c r="AD180" i="56"/>
  <c r="AE180" i="56" s="1"/>
  <c r="AF180" i="56" s="1"/>
  <c r="AG180" i="56" s="1"/>
  <c r="AH180" i="56" s="1"/>
  <c r="AI180" i="56" s="1"/>
  <c r="AJ180" i="56" s="1"/>
  <c r="AK180" i="56" s="1"/>
  <c r="AL180" i="56" s="1"/>
  <c r="AM180" i="56"/>
  <c r="H252" i="57"/>
  <c r="H176" i="57"/>
  <c r="R48" i="56"/>
  <c r="Q46" i="56"/>
  <c r="X40" i="56"/>
  <c r="X47" i="56" s="1"/>
  <c r="X87" i="56" s="1"/>
  <c r="X46" i="56"/>
  <c r="J151" i="57"/>
  <c r="J188" i="57" s="1"/>
  <c r="H250" i="57"/>
  <c r="J150" i="57"/>
  <c r="J187" i="57" s="1"/>
  <c r="P51" i="57"/>
  <c r="P110" i="57"/>
  <c r="P111" i="57" s="1"/>
  <c r="T179" i="57"/>
  <c r="T177" i="57"/>
  <c r="Q58" i="56"/>
  <c r="K35" i="56"/>
  <c r="K58" i="56" s="1"/>
  <c r="T212" i="57"/>
  <c r="T211" i="57"/>
  <c r="T210" i="57"/>
  <c r="U209" i="57"/>
  <c r="T196" i="57"/>
  <c r="T198" i="57"/>
  <c r="T197" i="57"/>
  <c r="R55" i="56"/>
  <c r="L32" i="56"/>
  <c r="L55" i="56" s="1"/>
  <c r="J149" i="57"/>
  <c r="J186" i="57" s="1"/>
  <c r="J94" i="56"/>
  <c r="J78" i="56"/>
  <c r="AD173" i="56"/>
  <c r="AE173" i="56" s="1"/>
  <c r="AF173" i="56" s="1"/>
  <c r="AG173" i="56" s="1"/>
  <c r="AH173" i="56" s="1"/>
  <c r="AI173" i="56" s="1"/>
  <c r="AJ173" i="56" s="1"/>
  <c r="AK173" i="56" s="1"/>
  <c r="AL173" i="56" s="1"/>
  <c r="AM173" i="56"/>
  <c r="S179" i="57"/>
  <c r="S173" i="57"/>
  <c r="S174" i="57"/>
  <c r="S177" i="57"/>
  <c r="S172" i="57"/>
  <c r="K129" i="57"/>
  <c r="G169" i="57"/>
  <c r="G172" i="57" s="1"/>
  <c r="N228" i="57"/>
  <c r="O228" i="57" s="1"/>
  <c r="P228" i="57" s="1"/>
  <c r="Q228" i="57" s="1"/>
  <c r="R36" i="56"/>
  <c r="R59" i="56" s="1"/>
  <c r="R86" i="56" s="1"/>
  <c r="AE77" i="56" s="1"/>
  <c r="J190" i="57"/>
  <c r="J165" i="57"/>
  <c r="W77" i="56"/>
  <c r="W93" i="56"/>
  <c r="X76" i="56"/>
  <c r="X92" i="56"/>
  <c r="I58" i="57"/>
  <c r="O59" i="57"/>
  <c r="R58" i="56"/>
  <c r="L35" i="56"/>
  <c r="L58" i="56" s="1"/>
  <c r="P98" i="56"/>
  <c r="P82" i="56"/>
  <c r="R123" i="56"/>
  <c r="Q144" i="56" s="1"/>
  <c r="R183" i="56" s="1"/>
  <c r="R114" i="56"/>
  <c r="Q135" i="56" s="1"/>
  <c r="R121" i="56"/>
  <c r="Q142" i="56" s="1"/>
  <c r="R181" i="56" s="1"/>
  <c r="R120" i="56"/>
  <c r="Q141" i="56" s="1"/>
  <c r="R119" i="56"/>
  <c r="Q140" i="56" s="1"/>
  <c r="R118" i="56"/>
  <c r="Q139" i="56" s="1"/>
  <c r="R117" i="56"/>
  <c r="Q138" i="56" s="1"/>
  <c r="R116" i="56"/>
  <c r="Q137" i="56" s="1"/>
  <c r="R113" i="56"/>
  <c r="Q134" i="56" s="1"/>
  <c r="R115" i="56"/>
  <c r="Q136" i="56" s="1"/>
  <c r="R111" i="56"/>
  <c r="Q132" i="56" s="1"/>
  <c r="R112" i="56"/>
  <c r="Q133" i="56" s="1"/>
  <c r="W52" i="56"/>
  <c r="X29" i="56"/>
  <c r="X52" i="56" s="1"/>
  <c r="T175" i="57"/>
  <c r="J192" i="57"/>
  <c r="J167" i="57"/>
  <c r="P79" i="56"/>
  <c r="P95" i="56"/>
  <c r="L93" i="56"/>
  <c r="L77" i="56"/>
  <c r="Q127" i="57"/>
  <c r="Q154" i="57" s="1"/>
  <c r="Q166" i="57" s="1"/>
  <c r="U169" i="57"/>
  <c r="Y162" i="57" s="1"/>
  <c r="O169" i="57"/>
  <c r="O174" i="57" s="1"/>
  <c r="P85" i="56"/>
  <c r="P101" i="56"/>
  <c r="W54" i="56"/>
  <c r="X31" i="56"/>
  <c r="X54" i="56" s="1"/>
  <c r="R226" i="57"/>
  <c r="R218" i="57"/>
  <c r="S218" i="57" s="1"/>
  <c r="R216" i="57"/>
  <c r="S216" i="57" s="1"/>
  <c r="R214" i="57"/>
  <c r="S214" i="57" s="1"/>
  <c r="R215" i="57"/>
  <c r="S215" i="57" s="1"/>
  <c r="R220" i="57"/>
  <c r="R219" i="57"/>
  <c r="S219" i="57" s="1"/>
  <c r="R221" i="57"/>
  <c r="S221" i="57" s="1"/>
  <c r="R217" i="57"/>
  <c r="S217" i="57" s="1"/>
  <c r="V95" i="56"/>
  <c r="V79" i="56"/>
  <c r="W119" i="57"/>
  <c r="W127" i="57" s="1"/>
  <c r="W154" i="57" s="1"/>
  <c r="W166" i="57" s="1"/>
  <c r="H178" i="57"/>
  <c r="G174" i="57"/>
  <c r="N230" i="57"/>
  <c r="O230" i="57" s="1"/>
  <c r="P230" i="57" s="1"/>
  <c r="Q230" i="57" s="1"/>
  <c r="J189" i="57"/>
  <c r="J164" i="57"/>
  <c r="K149" i="57" l="1"/>
  <c r="K186" i="57" s="1"/>
  <c r="AC76" i="56"/>
  <c r="AC78" i="56" s="1"/>
  <c r="AC80" i="56" s="1"/>
  <c r="O172" i="57"/>
  <c r="U172" i="57"/>
  <c r="H177" i="57"/>
  <c r="I248" i="57"/>
  <c r="U178" i="57"/>
  <c r="AI76" i="56"/>
  <c r="AI78" i="56" s="1"/>
  <c r="AI80" i="56" s="1"/>
  <c r="H174" i="57"/>
  <c r="J249" i="57"/>
  <c r="J248" i="57"/>
  <c r="S181" i="57"/>
  <c r="S182" i="57" s="1"/>
  <c r="K154" i="57"/>
  <c r="J251" i="57"/>
  <c r="I251" i="57"/>
  <c r="J253" i="57"/>
  <c r="I253" i="57"/>
  <c r="Q101" i="56"/>
  <c r="Q85" i="56"/>
  <c r="K95" i="56"/>
  <c r="K79" i="56"/>
  <c r="AN174" i="56"/>
  <c r="AO174" i="56"/>
  <c r="AP174" i="56" s="1"/>
  <c r="AQ174" i="56" s="1"/>
  <c r="H60" i="57"/>
  <c r="G60" i="57"/>
  <c r="W81" i="56"/>
  <c r="W97" i="56"/>
  <c r="R101" i="56"/>
  <c r="R85" i="56"/>
  <c r="X98" i="56"/>
  <c r="X82" i="56"/>
  <c r="O175" i="57"/>
  <c r="O179" i="57"/>
  <c r="O178" i="57"/>
  <c r="O176" i="57"/>
  <c r="O177" i="57"/>
  <c r="G176" i="57"/>
  <c r="G175" i="57"/>
  <c r="G178" i="57"/>
  <c r="G179" i="57"/>
  <c r="G177" i="57"/>
  <c r="U174" i="57"/>
  <c r="X94" i="56"/>
  <c r="X78" i="56"/>
  <c r="Q97" i="56"/>
  <c r="Q81" i="56"/>
  <c r="P88" i="56"/>
  <c r="V88" i="56" s="1"/>
  <c r="V89" i="56" s="1"/>
  <c r="K104" i="56"/>
  <c r="J88" i="56"/>
  <c r="J89" i="56" s="1"/>
  <c r="V61" i="57"/>
  <c r="L95" i="56"/>
  <c r="L79" i="56"/>
  <c r="AN204" i="57"/>
  <c r="AO204" i="57" s="1"/>
  <c r="AP204" i="57" s="1"/>
  <c r="AN218" i="57"/>
  <c r="AO218" i="57" s="1"/>
  <c r="AP218" i="57" s="1"/>
  <c r="W110" i="57"/>
  <c r="W111" i="57" s="1"/>
  <c r="W51" i="57"/>
  <c r="O60" i="57"/>
  <c r="I60" i="57" s="1"/>
  <c r="I59" i="57"/>
  <c r="W82" i="56"/>
  <c r="W98" i="56"/>
  <c r="Q84" i="56"/>
  <c r="Q100" i="56"/>
  <c r="W61" i="57"/>
  <c r="W58" i="57"/>
  <c r="W59" i="57" s="1"/>
  <c r="W60" i="57" s="1"/>
  <c r="W163" i="57"/>
  <c r="W162" i="57"/>
  <c r="W161" i="57"/>
  <c r="AN203" i="57"/>
  <c r="AO203" i="57" s="1"/>
  <c r="AP203" i="57" s="1"/>
  <c r="AN217" i="57"/>
  <c r="AO217" i="57" s="1"/>
  <c r="AP217" i="57" s="1"/>
  <c r="O89" i="56"/>
  <c r="P151" i="57"/>
  <c r="P150" i="57"/>
  <c r="P149" i="57"/>
  <c r="AN221" i="57"/>
  <c r="AO221" i="57" s="1"/>
  <c r="AP221" i="57" s="1"/>
  <c r="AN207" i="57"/>
  <c r="AO207" i="57" s="1"/>
  <c r="AP207" i="57" s="1"/>
  <c r="X36" i="56"/>
  <c r="X59" i="56" s="1"/>
  <c r="X86" i="56" s="1"/>
  <c r="AK77" i="56" s="1"/>
  <c r="H172" i="57"/>
  <c r="H181" i="57" s="1"/>
  <c r="H182" i="57" s="1"/>
  <c r="O143" i="56"/>
  <c r="P182" i="56" s="1"/>
  <c r="Q122" i="56"/>
  <c r="X85" i="56"/>
  <c r="X101" i="56"/>
  <c r="L96" i="56"/>
  <c r="L80" i="56"/>
  <c r="R95" i="56"/>
  <c r="R79" i="56"/>
  <c r="U227" i="57"/>
  <c r="U246" i="57"/>
  <c r="U254" i="57"/>
  <c r="T224" i="57"/>
  <c r="T225" i="57"/>
  <c r="U244" i="57"/>
  <c r="U247" i="57" s="1"/>
  <c r="U245" i="57"/>
  <c r="T223" i="57"/>
  <c r="T226" i="57" s="1"/>
  <c r="Q95" i="56"/>
  <c r="Q79" i="56"/>
  <c r="K100" i="56"/>
  <c r="K84" i="56"/>
  <c r="AO179" i="56"/>
  <c r="AP179" i="56" s="1"/>
  <c r="AQ179" i="56" s="1"/>
  <c r="AN179" i="56"/>
  <c r="U179" i="57"/>
  <c r="U177" i="57"/>
  <c r="U173" i="57"/>
  <c r="T199" i="57"/>
  <c r="K57" i="57"/>
  <c r="Q163" i="57"/>
  <c r="Q58" i="57"/>
  <c r="Q61" i="57" s="1"/>
  <c r="K61" i="57" s="1"/>
  <c r="Q161" i="57"/>
  <c r="Q162" i="57"/>
  <c r="K151" i="57"/>
  <c r="K188" i="57" s="1"/>
  <c r="I250" i="57"/>
  <c r="K150" i="57"/>
  <c r="K187" i="57" s="1"/>
  <c r="J250" i="57"/>
  <c r="H175" i="57"/>
  <c r="J163" i="57"/>
  <c r="J45" i="57"/>
  <c r="J162" i="57"/>
  <c r="J161" i="57"/>
  <c r="W101" i="56"/>
  <c r="W85" i="56"/>
  <c r="R96" i="56"/>
  <c r="R80" i="56"/>
  <c r="L85" i="56"/>
  <c r="L101" i="56"/>
  <c r="R84" i="56"/>
  <c r="R100" i="56"/>
  <c r="V169" i="57"/>
  <c r="V178" i="57" s="1"/>
  <c r="V172" i="57"/>
  <c r="AN220" i="57"/>
  <c r="AO220" i="57" s="1"/>
  <c r="AP220" i="57" s="1"/>
  <c r="AN206" i="57"/>
  <c r="AO206" i="57" s="1"/>
  <c r="AP206" i="57" s="1"/>
  <c r="K97" i="56"/>
  <c r="K81" i="56"/>
  <c r="AO176" i="56"/>
  <c r="AP176" i="56" s="1"/>
  <c r="AQ176" i="56" s="1"/>
  <c r="AN176" i="56"/>
  <c r="K155" i="57"/>
  <c r="K153" i="57"/>
  <c r="U212" i="57"/>
  <c r="V209" i="57"/>
  <c r="U198" i="57"/>
  <c r="U210" i="57"/>
  <c r="U213" i="57" s="1"/>
  <c r="U196" i="57"/>
  <c r="U199" i="57" s="1"/>
  <c r="U197" i="57"/>
  <c r="U211" i="57"/>
  <c r="AN215" i="57"/>
  <c r="AO215" i="57" s="1"/>
  <c r="AP215" i="57" s="1"/>
  <c r="AN201" i="57"/>
  <c r="AO201" i="57" s="1"/>
  <c r="AP201" i="57" s="1"/>
  <c r="Q110" i="57"/>
  <c r="Q111" i="57" s="1"/>
  <c r="Q51" i="57"/>
  <c r="X96" i="56"/>
  <c r="X80" i="56"/>
  <c r="I169" i="57"/>
  <c r="I172" i="57"/>
  <c r="S259" i="57"/>
  <c r="S255" i="57"/>
  <c r="S257" i="57"/>
  <c r="S256" i="57"/>
  <c r="S258" i="57"/>
  <c r="S260" i="57"/>
  <c r="L99" i="56"/>
  <c r="L83" i="56"/>
  <c r="J102" i="56"/>
  <c r="J86" i="56"/>
  <c r="X99" i="56"/>
  <c r="X83" i="56"/>
  <c r="T247" i="57"/>
  <c r="X95" i="56"/>
  <c r="X79" i="56"/>
  <c r="W79" i="56"/>
  <c r="W95" i="56"/>
  <c r="L36" i="56"/>
  <c r="L59" i="56" s="1"/>
  <c r="W96" i="56"/>
  <c r="W80" i="56"/>
  <c r="T123" i="56"/>
  <c r="T112" i="56"/>
  <c r="T122" i="56"/>
  <c r="T119" i="56"/>
  <c r="T118" i="56"/>
  <c r="T117" i="56"/>
  <c r="T116" i="56"/>
  <c r="T120" i="56"/>
  <c r="T113" i="56"/>
  <c r="T114" i="56"/>
  <c r="S135" i="56" s="1"/>
  <c r="T115" i="56"/>
  <c r="S136" i="56" s="1"/>
  <c r="T111" i="56"/>
  <c r="T121" i="56"/>
  <c r="I173" i="57"/>
  <c r="R83" i="56"/>
  <c r="R99" i="56"/>
  <c r="K82" i="56"/>
  <c r="K98" i="56"/>
  <c r="AO177" i="56"/>
  <c r="AP177" i="56" s="1"/>
  <c r="AQ177" i="56" s="1"/>
  <c r="AN177" i="56"/>
  <c r="W99" i="56"/>
  <c r="W83" i="56"/>
  <c r="J252" i="57"/>
  <c r="I252" i="57"/>
  <c r="AN200" i="57"/>
  <c r="AO200" i="57" s="1"/>
  <c r="AP200" i="57" s="1"/>
  <c r="AN214" i="57"/>
  <c r="AO214" i="57" s="1"/>
  <c r="AP214" i="57" s="1"/>
  <c r="T213" i="57"/>
  <c r="U175" i="57"/>
  <c r="AN202" i="57"/>
  <c r="AO202" i="57" s="1"/>
  <c r="AP202" i="57" s="1"/>
  <c r="AN216" i="57"/>
  <c r="AO216" i="57" s="1"/>
  <c r="AP216" i="57" s="1"/>
  <c r="L78" i="56"/>
  <c r="L94" i="56"/>
  <c r="L97" i="56"/>
  <c r="L81" i="56"/>
  <c r="X162" i="57"/>
  <c r="K83" i="56"/>
  <c r="K99" i="56"/>
  <c r="AN178" i="56"/>
  <c r="AO178" i="56"/>
  <c r="AP178" i="56" s="1"/>
  <c r="AQ178" i="56" s="1"/>
  <c r="K152" i="57"/>
  <c r="Q98" i="56"/>
  <c r="Q82" i="56"/>
  <c r="Q77" i="56"/>
  <c r="Q93" i="56"/>
  <c r="K78" i="56"/>
  <c r="K94" i="56"/>
  <c r="AO173" i="56"/>
  <c r="AP173" i="56" s="1"/>
  <c r="AQ173" i="56" s="1"/>
  <c r="AN173" i="56"/>
  <c r="L82" i="56"/>
  <c r="L98" i="56"/>
  <c r="P169" i="57"/>
  <c r="P173" i="57" s="1"/>
  <c r="R98" i="56"/>
  <c r="R82" i="56"/>
  <c r="J58" i="57"/>
  <c r="P59" i="57"/>
  <c r="X77" i="56"/>
  <c r="X93" i="56"/>
  <c r="V175" i="57"/>
  <c r="R97" i="56"/>
  <c r="R81" i="56"/>
  <c r="O173" i="57"/>
  <c r="U108" i="56"/>
  <c r="V106" i="56"/>
  <c r="U109" i="56"/>
  <c r="U107" i="56"/>
  <c r="Q83" i="56"/>
  <c r="Q99" i="56"/>
  <c r="K80" i="56"/>
  <c r="K96" i="56"/>
  <c r="AO175" i="56"/>
  <c r="AP175" i="56" s="1"/>
  <c r="AQ175" i="56" s="1"/>
  <c r="AN175" i="56"/>
  <c r="X84" i="56"/>
  <c r="X100" i="56"/>
  <c r="G173" i="57"/>
  <c r="G181" i="57" s="1"/>
  <c r="G182" i="57" s="1"/>
  <c r="X97" i="56"/>
  <c r="X81" i="56"/>
  <c r="K193" i="57"/>
  <c r="K168" i="57"/>
  <c r="K36" i="56"/>
  <c r="K59" i="56" s="1"/>
  <c r="R46" i="56"/>
  <c r="R47" i="56"/>
  <c r="R87" i="56" s="1"/>
  <c r="AN205" i="57"/>
  <c r="AO205" i="57" s="1"/>
  <c r="AP205" i="57" s="1"/>
  <c r="AN219" i="57"/>
  <c r="AO219" i="57" s="1"/>
  <c r="AP219" i="57" s="1"/>
  <c r="V150" i="57"/>
  <c r="V151" i="57"/>
  <c r="V149" i="57"/>
  <c r="R235" i="57"/>
  <c r="R233" i="57"/>
  <c r="R234" i="57"/>
  <c r="R229" i="57"/>
  <c r="R231" i="57"/>
  <c r="R228" i="57"/>
  <c r="R232" i="57"/>
  <c r="R230" i="57"/>
  <c r="K101" i="56"/>
  <c r="K85" i="56"/>
  <c r="AO180" i="56"/>
  <c r="AP180" i="56" s="1"/>
  <c r="AQ180" i="56" s="1"/>
  <c r="AN180" i="56"/>
  <c r="U176" i="57"/>
  <c r="L100" i="56"/>
  <c r="L84" i="56"/>
  <c r="Q96" i="56"/>
  <c r="Q80" i="56"/>
  <c r="S226" i="57"/>
  <c r="W84" i="56"/>
  <c r="W100" i="56"/>
  <c r="AD76" i="56" l="1"/>
  <c r="AD78" i="56" s="1"/>
  <c r="AD80" i="56" s="1"/>
  <c r="V173" i="57"/>
  <c r="V181" i="57" s="1"/>
  <c r="V182" i="57" s="1"/>
  <c r="AJ76" i="56"/>
  <c r="AJ78" i="56" s="1"/>
  <c r="AJ80" i="56" s="1"/>
  <c r="V176" i="57"/>
  <c r="U181" i="57"/>
  <c r="U182" i="57" s="1"/>
  <c r="U183" i="57" s="1"/>
  <c r="O181" i="57"/>
  <c r="O182" i="57" s="1"/>
  <c r="AE76" i="56"/>
  <c r="AE78" i="56" s="1"/>
  <c r="AE80" i="56" s="1"/>
  <c r="L102" i="56"/>
  <c r="L86" i="56"/>
  <c r="V177" i="57"/>
  <c r="V179" i="57"/>
  <c r="K45" i="57"/>
  <c r="K161" i="57"/>
  <c r="K163" i="57"/>
  <c r="K162" i="57"/>
  <c r="V174" i="57"/>
  <c r="U207" i="57"/>
  <c r="I177" i="57"/>
  <c r="I179" i="57"/>
  <c r="W150" i="57"/>
  <c r="W151" i="57"/>
  <c r="W149" i="57"/>
  <c r="P172" i="57"/>
  <c r="P181" i="57" s="1"/>
  <c r="P182" i="57" s="1"/>
  <c r="K189" i="57"/>
  <c r="K164" i="57"/>
  <c r="K190" i="57"/>
  <c r="K165" i="57"/>
  <c r="I175" i="57"/>
  <c r="P143" i="56"/>
  <c r="Q182" i="56" s="1"/>
  <c r="R122" i="56"/>
  <c r="Q143" i="56" s="1"/>
  <c r="R182" i="56" s="1"/>
  <c r="U214" i="57"/>
  <c r="W169" i="57"/>
  <c r="W174" i="57" s="1"/>
  <c r="Q151" i="57"/>
  <c r="Q150" i="57"/>
  <c r="Q149" i="57"/>
  <c r="AK76" i="56"/>
  <c r="AK78" i="56" s="1"/>
  <c r="AK80" i="56" s="1"/>
  <c r="T216" i="57"/>
  <c r="U216" i="57" s="1"/>
  <c r="T214" i="57"/>
  <c r="T220" i="57"/>
  <c r="U220" i="57" s="1"/>
  <c r="T221" i="57"/>
  <c r="U221" i="57" s="1"/>
  <c r="T219" i="57"/>
  <c r="U219" i="57" s="1"/>
  <c r="T217" i="57"/>
  <c r="U217" i="57" s="1"/>
  <c r="T215" i="57"/>
  <c r="U215" i="57" s="1"/>
  <c r="T218" i="57"/>
  <c r="U218" i="57" s="1"/>
  <c r="Q173" i="57"/>
  <c r="K58" i="57"/>
  <c r="Q59" i="57"/>
  <c r="P177" i="57"/>
  <c r="P179" i="57"/>
  <c r="P178" i="57"/>
  <c r="P175" i="57"/>
  <c r="P176" i="57"/>
  <c r="W209" i="57"/>
  <c r="V211" i="57"/>
  <c r="V210" i="57"/>
  <c r="V213" i="57" s="1"/>
  <c r="V212" i="57"/>
  <c r="V198" i="57"/>
  <c r="V196" i="57"/>
  <c r="V197" i="57"/>
  <c r="P89" i="56"/>
  <c r="S234" i="57"/>
  <c r="T234" i="57" s="1"/>
  <c r="S235" i="57"/>
  <c r="T235" i="57" s="1"/>
  <c r="S233" i="57"/>
  <c r="T233" i="57" s="1"/>
  <c r="S232" i="57"/>
  <c r="T232" i="57" s="1"/>
  <c r="S231" i="57"/>
  <c r="T231" i="57" s="1"/>
  <c r="S228" i="57"/>
  <c r="T228" i="57" s="1"/>
  <c r="S230" i="57"/>
  <c r="T230" i="57" s="1"/>
  <c r="S229" i="57"/>
  <c r="T229" i="57" s="1"/>
  <c r="I174" i="57"/>
  <c r="R77" i="56"/>
  <c r="R93" i="56"/>
  <c r="V109" i="56"/>
  <c r="V107" i="56"/>
  <c r="V110" i="56" s="1"/>
  <c r="W106" i="56"/>
  <c r="V108" i="56"/>
  <c r="I181" i="57"/>
  <c r="I182" i="57" s="1"/>
  <c r="K88" i="56"/>
  <c r="L104" i="56"/>
  <c r="Q88" i="56"/>
  <c r="W88" i="56" s="1"/>
  <c r="W89" i="56" s="1"/>
  <c r="K102" i="56"/>
  <c r="K86" i="56"/>
  <c r="I176" i="57"/>
  <c r="I178" i="57"/>
  <c r="K191" i="57"/>
  <c r="K166" i="57"/>
  <c r="Q169" i="57"/>
  <c r="Q172" i="57" s="1"/>
  <c r="J169" i="57"/>
  <c r="J173" i="57" s="1"/>
  <c r="K192" i="57"/>
  <c r="K167" i="57"/>
  <c r="T205" i="57"/>
  <c r="U205" i="57" s="1"/>
  <c r="T203" i="57"/>
  <c r="U203" i="57" s="1"/>
  <c r="T206" i="57"/>
  <c r="U206" i="57" s="1"/>
  <c r="T202" i="57"/>
  <c r="U202" i="57" s="1"/>
  <c r="T204" i="57"/>
  <c r="U204" i="57" s="1"/>
  <c r="T200" i="57"/>
  <c r="U200" i="57" s="1"/>
  <c r="T207" i="57"/>
  <c r="T201" i="57"/>
  <c r="U201" i="57" s="1"/>
  <c r="U110" i="56"/>
  <c r="P60" i="57"/>
  <c r="J60" i="57" s="1"/>
  <c r="J59" i="57"/>
  <c r="T260" i="57"/>
  <c r="U260" i="57" s="1"/>
  <c r="T258" i="57"/>
  <c r="U258" i="57" s="1"/>
  <c r="T256" i="57"/>
  <c r="U256" i="57" s="1"/>
  <c r="T257" i="57"/>
  <c r="U257" i="57" s="1"/>
  <c r="T255" i="57"/>
  <c r="U255" i="57" s="1"/>
  <c r="T259" i="57"/>
  <c r="U259" i="57" s="1"/>
  <c r="V244" i="57"/>
  <c r="V247" i="57" s="1"/>
  <c r="V254" i="57"/>
  <c r="U223" i="57"/>
  <c r="V245" i="57"/>
  <c r="U225" i="57"/>
  <c r="V246" i="57"/>
  <c r="V227" i="57"/>
  <c r="U224" i="57"/>
  <c r="P174" i="57"/>
  <c r="K89" i="56" l="1"/>
  <c r="Q174" i="57"/>
  <c r="J174" i="57"/>
  <c r="Q181" i="57"/>
  <c r="Q182" i="57" s="1"/>
  <c r="W172" i="57"/>
  <c r="W173" i="57"/>
  <c r="R89" i="56"/>
  <c r="W198" i="57"/>
  <c r="W210" i="57"/>
  <c r="W196" i="57"/>
  <c r="W211" i="57"/>
  <c r="W197" i="57"/>
  <c r="W212" i="57"/>
  <c r="X209" i="57"/>
  <c r="Q89" i="56"/>
  <c r="W246" i="57"/>
  <c r="W254" i="57"/>
  <c r="W245" i="57"/>
  <c r="W227" i="57"/>
  <c r="V224" i="57"/>
  <c r="W244" i="57"/>
  <c r="W247" i="57" s="1"/>
  <c r="V225" i="57"/>
  <c r="V223" i="57"/>
  <c r="V226" i="57" s="1"/>
  <c r="V214" i="57"/>
  <c r="V220" i="57"/>
  <c r="V218" i="57"/>
  <c r="V221" i="57"/>
  <c r="V219" i="57"/>
  <c r="V215" i="57"/>
  <c r="V217" i="57"/>
  <c r="V216" i="57"/>
  <c r="K169" i="57"/>
  <c r="K179" i="57" s="1"/>
  <c r="J178" i="57"/>
  <c r="J177" i="57"/>
  <c r="J175" i="57"/>
  <c r="J176" i="57"/>
  <c r="J179" i="57"/>
  <c r="R88" i="56"/>
  <c r="X88" i="56" s="1"/>
  <c r="X89" i="56" s="1"/>
  <c r="L88" i="56"/>
  <c r="L89" i="56" s="1"/>
  <c r="L90" i="56" s="1"/>
  <c r="V258" i="57"/>
  <c r="V256" i="57"/>
  <c r="V260" i="57"/>
  <c r="V255" i="57"/>
  <c r="V259" i="57"/>
  <c r="V257" i="57"/>
  <c r="U111" i="56"/>
  <c r="V111" i="56" s="1"/>
  <c r="U118" i="56"/>
  <c r="V118" i="56" s="1"/>
  <c r="U117" i="56"/>
  <c r="V117" i="56" s="1"/>
  <c r="U116" i="56"/>
  <c r="V116" i="56" s="1"/>
  <c r="U115" i="56"/>
  <c r="V115" i="56" s="1"/>
  <c r="U122" i="56"/>
  <c r="U119" i="56"/>
  <c r="V119" i="56" s="1"/>
  <c r="U114" i="56"/>
  <c r="V114" i="56" s="1"/>
  <c r="U121" i="56"/>
  <c r="V121" i="56" s="1"/>
  <c r="U120" i="56"/>
  <c r="V120" i="56" s="1"/>
  <c r="U113" i="56"/>
  <c r="U123" i="56"/>
  <c r="U112" i="56"/>
  <c r="V112" i="56" s="1"/>
  <c r="J172" i="57"/>
  <c r="J181" i="57" s="1"/>
  <c r="J182" i="57" s="1"/>
  <c r="U226" i="57"/>
  <c r="Q60" i="57"/>
  <c r="K60" i="57" s="1"/>
  <c r="K59" i="57"/>
  <c r="W107" i="56"/>
  <c r="W108" i="56"/>
  <c r="X106" i="56"/>
  <c r="W109" i="56"/>
  <c r="V123" i="56"/>
  <c r="V113" i="56"/>
  <c r="V122" i="56"/>
  <c r="W177" i="57"/>
  <c r="W175" i="57"/>
  <c r="W176" i="57"/>
  <c r="W178" i="57"/>
  <c r="W179" i="57"/>
  <c r="Q179" i="57"/>
  <c r="Q175" i="57"/>
  <c r="Q178" i="57"/>
  <c r="Q176" i="57"/>
  <c r="Q177" i="57"/>
  <c r="V199" i="57"/>
  <c r="K177" i="57" l="1"/>
  <c r="K172" i="57"/>
  <c r="K175" i="57"/>
  <c r="K178" i="57"/>
  <c r="X211" i="57"/>
  <c r="X212" i="57"/>
  <c r="X210" i="57"/>
  <c r="X213" i="57" s="1"/>
  <c r="Y209" i="57"/>
  <c r="X198" i="57"/>
  <c r="X196" i="57"/>
  <c r="X197" i="57"/>
  <c r="W257" i="57"/>
  <c r="W260" i="57"/>
  <c r="W259" i="57"/>
  <c r="W255" i="57"/>
  <c r="W258" i="57"/>
  <c r="W256" i="57"/>
  <c r="V207" i="57"/>
  <c r="V203" i="57"/>
  <c r="V201" i="57"/>
  <c r="V206" i="57"/>
  <c r="V204" i="57"/>
  <c r="V200" i="57"/>
  <c r="V205" i="57"/>
  <c r="V202" i="57"/>
  <c r="W199" i="57"/>
  <c r="W110" i="56"/>
  <c r="X244" i="57"/>
  <c r="X254" i="57"/>
  <c r="X245" i="57"/>
  <c r="X246" i="57"/>
  <c r="W225" i="57"/>
  <c r="W224" i="57"/>
  <c r="W223" i="57"/>
  <c r="W226" i="57" s="1"/>
  <c r="X227" i="57"/>
  <c r="W213" i="57"/>
  <c r="X108" i="56"/>
  <c r="X107" i="56"/>
  <c r="X110" i="56" s="1"/>
  <c r="Y106" i="56"/>
  <c r="X109" i="56"/>
  <c r="U235" i="57"/>
  <c r="U233" i="57"/>
  <c r="V233" i="57" s="1"/>
  <c r="U232" i="57"/>
  <c r="V232" i="57" s="1"/>
  <c r="U230" i="57"/>
  <c r="V230" i="57" s="1"/>
  <c r="U229" i="57"/>
  <c r="V229" i="57" s="1"/>
  <c r="U231" i="57"/>
  <c r="V231" i="57" s="1"/>
  <c r="U228" i="57"/>
  <c r="V228" i="57" s="1"/>
  <c r="U234" i="57"/>
  <c r="V234" i="57" s="1"/>
  <c r="K174" i="57"/>
  <c r="K176" i="57"/>
  <c r="V235" i="57"/>
  <c r="K173" i="57"/>
  <c r="K181" i="57" s="1"/>
  <c r="K182" i="57" s="1"/>
  <c r="W181" i="57"/>
  <c r="W182" i="57" s="1"/>
  <c r="W200" i="57" l="1"/>
  <c r="W206" i="57"/>
  <c r="W204" i="57"/>
  <c r="W203" i="57"/>
  <c r="W201" i="57"/>
  <c r="W202" i="57"/>
  <c r="W205" i="57"/>
  <c r="W207" i="57"/>
  <c r="X119" i="56"/>
  <c r="X199" i="57"/>
  <c r="W235" i="57"/>
  <c r="W233" i="57"/>
  <c r="W232" i="57"/>
  <c r="W231" i="57"/>
  <c r="W230" i="57"/>
  <c r="W229" i="57"/>
  <c r="W228" i="57"/>
  <c r="W234" i="57"/>
  <c r="Y197" i="57"/>
  <c r="Y210" i="57"/>
  <c r="Y213" i="57" s="1"/>
  <c r="Y212" i="57"/>
  <c r="Z209" i="57"/>
  <c r="Y198" i="57"/>
  <c r="Y196" i="57"/>
  <c r="Y199" i="57" s="1"/>
  <c r="Y211" i="57"/>
  <c r="X247" i="57"/>
  <c r="W219" i="57"/>
  <c r="X219" i="57" s="1"/>
  <c r="W217" i="57"/>
  <c r="X217" i="57" s="1"/>
  <c r="W215" i="57"/>
  <c r="X215" i="57" s="1"/>
  <c r="W216" i="57"/>
  <c r="X216" i="57" s="1"/>
  <c r="W221" i="57"/>
  <c r="X221" i="57" s="1"/>
  <c r="W220" i="57"/>
  <c r="X220" i="57" s="1"/>
  <c r="W214" i="57"/>
  <c r="X214" i="57" s="1"/>
  <c r="W218" i="57"/>
  <c r="X218" i="57" s="1"/>
  <c r="Y246" i="57"/>
  <c r="Y245" i="57"/>
  <c r="Y254" i="57"/>
  <c r="X223" i="57"/>
  <c r="X226" i="57" s="1"/>
  <c r="X225" i="57"/>
  <c r="X224" i="57"/>
  <c r="Y227" i="57"/>
  <c r="Y244" i="57"/>
  <c r="Y107" i="56"/>
  <c r="Y108" i="56"/>
  <c r="Z106" i="56"/>
  <c r="Y109" i="56"/>
  <c r="W123" i="56"/>
  <c r="X123" i="56" s="1"/>
  <c r="W122" i="56"/>
  <c r="X122" i="56" s="1"/>
  <c r="W121" i="56"/>
  <c r="X121" i="56" s="1"/>
  <c r="W116" i="56"/>
  <c r="X116" i="56" s="1"/>
  <c r="W115" i="56"/>
  <c r="X115" i="56" s="1"/>
  <c r="W114" i="56"/>
  <c r="X114" i="56" s="1"/>
  <c r="W113" i="56"/>
  <c r="X113" i="56" s="1"/>
  <c r="W118" i="56"/>
  <c r="X118" i="56" s="1"/>
  <c r="W117" i="56"/>
  <c r="X117" i="56" s="1"/>
  <c r="W111" i="56"/>
  <c r="X111" i="56" s="1"/>
  <c r="W112" i="56"/>
  <c r="X112" i="56" s="1"/>
  <c r="W120" i="56"/>
  <c r="X120" i="56" s="1"/>
  <c r="W119" i="56"/>
  <c r="Y206" i="57" l="1"/>
  <c r="X260" i="57"/>
  <c r="X259" i="57"/>
  <c r="X255" i="57"/>
  <c r="X257" i="57"/>
  <c r="X258" i="57"/>
  <c r="X256" i="57"/>
  <c r="Z212" i="57"/>
  <c r="Z211" i="57"/>
  <c r="AA209" i="57"/>
  <c r="Z197" i="57"/>
  <c r="Z210" i="57"/>
  <c r="Z213" i="57" s="1"/>
  <c r="Z198" i="57"/>
  <c r="Z196" i="57"/>
  <c r="Z199" i="57" s="1"/>
  <c r="X205" i="57"/>
  <c r="Y205" i="57" s="1"/>
  <c r="X201" i="57"/>
  <c r="Y201" i="57" s="1"/>
  <c r="X204" i="57"/>
  <c r="Y204" i="57" s="1"/>
  <c r="X202" i="57"/>
  <c r="Y202" i="57" s="1"/>
  <c r="X207" i="57"/>
  <c r="Y207" i="57" s="1"/>
  <c r="X200" i="57"/>
  <c r="Y200" i="57" s="1"/>
  <c r="X203" i="57"/>
  <c r="Y203" i="57" s="1"/>
  <c r="X206" i="57"/>
  <c r="Z109" i="56"/>
  <c r="AA106" i="56"/>
  <c r="Z107" i="56"/>
  <c r="Z108" i="56"/>
  <c r="Y217" i="57"/>
  <c r="Y215" i="57"/>
  <c r="Y221" i="57"/>
  <c r="Y214" i="57"/>
  <c r="Y218" i="57"/>
  <c r="Y216" i="57"/>
  <c r="Y219" i="57"/>
  <c r="Y220" i="57"/>
  <c r="X234" i="57"/>
  <c r="X230" i="57"/>
  <c r="X229" i="57"/>
  <c r="X232" i="57"/>
  <c r="X231" i="57"/>
  <c r="X228" i="57"/>
  <c r="X233" i="57"/>
  <c r="X235" i="57"/>
  <c r="Y110" i="56"/>
  <c r="Y247" i="57"/>
  <c r="Z244" i="57"/>
  <c r="Z254" i="57"/>
  <c r="Z245" i="57"/>
  <c r="Y225" i="57"/>
  <c r="Y223" i="57"/>
  <c r="Z227" i="57"/>
  <c r="Y224" i="57"/>
  <c r="Z246" i="57"/>
  <c r="Z203" i="57" l="1"/>
  <c r="Z207" i="57"/>
  <c r="Z200" i="57"/>
  <c r="Z206" i="57"/>
  <c r="Z201" i="57"/>
  <c r="Z202" i="57"/>
  <c r="Z205" i="57"/>
  <c r="Z204" i="57"/>
  <c r="Y226" i="57"/>
  <c r="Z110" i="56"/>
  <c r="AA109" i="56"/>
  <c r="AA108" i="56"/>
  <c r="AB106" i="56"/>
  <c r="AA107" i="56"/>
  <c r="Z220" i="57"/>
  <c r="Z218" i="57"/>
  <c r="Z216" i="57"/>
  <c r="Z221" i="57"/>
  <c r="Z214" i="57"/>
  <c r="Z219" i="57"/>
  <c r="Z217" i="57"/>
  <c r="Z215" i="57"/>
  <c r="AA211" i="57"/>
  <c r="AA198" i="57"/>
  <c r="AA212" i="57"/>
  <c r="AB209" i="57"/>
  <c r="AA196" i="57"/>
  <c r="AA210" i="57"/>
  <c r="AA197" i="57"/>
  <c r="Y260" i="57"/>
  <c r="Y259" i="57"/>
  <c r="Y255" i="57"/>
  <c r="Y258" i="57"/>
  <c r="Y256" i="57"/>
  <c r="Y257" i="57"/>
  <c r="AA244" i="57"/>
  <c r="AA247" i="57" s="1"/>
  <c r="Z223" i="57"/>
  <c r="AA227" i="57"/>
  <c r="Z224" i="57"/>
  <c r="AA245" i="57"/>
  <c r="Z225" i="57"/>
  <c r="AA246" i="57"/>
  <c r="AA254" i="57"/>
  <c r="Z247" i="57"/>
  <c r="Y119" i="56"/>
  <c r="Y114" i="56"/>
  <c r="Y112" i="56"/>
  <c r="Y111" i="56"/>
  <c r="Y123" i="56"/>
  <c r="Y121" i="56"/>
  <c r="Y118" i="56"/>
  <c r="Y117" i="56"/>
  <c r="Y115" i="56"/>
  <c r="Y120" i="56"/>
  <c r="Y116" i="56"/>
  <c r="Y113" i="56"/>
  <c r="Y122" i="56"/>
  <c r="Z122" i="56" l="1"/>
  <c r="Z118" i="56"/>
  <c r="Z113" i="56"/>
  <c r="Z111" i="56"/>
  <c r="Z123" i="56"/>
  <c r="Z121" i="56"/>
  <c r="Z120" i="56"/>
  <c r="Z114" i="56"/>
  <c r="Z117" i="56"/>
  <c r="Z115" i="56"/>
  <c r="Z112" i="56"/>
  <c r="Z116" i="56"/>
  <c r="Z119" i="56"/>
  <c r="Y235" i="57"/>
  <c r="Y233" i="57"/>
  <c r="Y232" i="57"/>
  <c r="Y231" i="57"/>
  <c r="Y230" i="57"/>
  <c r="Y229" i="57"/>
  <c r="Y228" i="57"/>
  <c r="Y234" i="57"/>
  <c r="AA259" i="57"/>
  <c r="AA258" i="57"/>
  <c r="AA260" i="57"/>
  <c r="AA213" i="57"/>
  <c r="AA199" i="57"/>
  <c r="Z260" i="57"/>
  <c r="Z259" i="57"/>
  <c r="Z255" i="57"/>
  <c r="AA255" i="57" s="1"/>
  <c r="Z258" i="57"/>
  <c r="Z256" i="57"/>
  <c r="AA256" i="57" s="1"/>
  <c r="Z257" i="57"/>
  <c r="AA257" i="57" s="1"/>
  <c r="AA110" i="56"/>
  <c r="AB254" i="57"/>
  <c r="AB245" i="57"/>
  <c r="AB246" i="57"/>
  <c r="AA225" i="57"/>
  <c r="AA223" i="57"/>
  <c r="AA226" i="57" s="1"/>
  <c r="AB227" i="57"/>
  <c r="AA224" i="57"/>
  <c r="AB244" i="57"/>
  <c r="AB210" i="57"/>
  <c r="AB213" i="57" s="1"/>
  <c r="AB212" i="57"/>
  <c r="AC209" i="57"/>
  <c r="AB198" i="57"/>
  <c r="AB211" i="57"/>
  <c r="AB197" i="57"/>
  <c r="AB196" i="57"/>
  <c r="Z226" i="57"/>
  <c r="AC106" i="56"/>
  <c r="AB109" i="56"/>
  <c r="AB108" i="56"/>
  <c r="AB107" i="56"/>
  <c r="AB110" i="56" s="1"/>
  <c r="AC210" i="57" l="1"/>
  <c r="AC196" i="57"/>
  <c r="AC212" i="57"/>
  <c r="AD209" i="57"/>
  <c r="AC198" i="57"/>
  <c r="AC211" i="57"/>
  <c r="AC197" i="57"/>
  <c r="AA117" i="56"/>
  <c r="AA112" i="56"/>
  <c r="AB112" i="56" s="1"/>
  <c r="AA123" i="56"/>
  <c r="AB123" i="56" s="1"/>
  <c r="AA121" i="56"/>
  <c r="AB121" i="56" s="1"/>
  <c r="AA120" i="56"/>
  <c r="AB120" i="56" s="1"/>
  <c r="AA119" i="56"/>
  <c r="AB119" i="56" s="1"/>
  <c r="AA114" i="56"/>
  <c r="AA115" i="56"/>
  <c r="AB115" i="56" s="1"/>
  <c r="AA116" i="56"/>
  <c r="AA122" i="56"/>
  <c r="AA113" i="56"/>
  <c r="AB113" i="56" s="1"/>
  <c r="AA118" i="56"/>
  <c r="AB118" i="56" s="1"/>
  <c r="AA111" i="56"/>
  <c r="AB111" i="56" s="1"/>
  <c r="AB220" i="57"/>
  <c r="AB218" i="57"/>
  <c r="AB216" i="57"/>
  <c r="AB214" i="57"/>
  <c r="AB217" i="57"/>
  <c r="AB215" i="57"/>
  <c r="AB219" i="57"/>
  <c r="AB221" i="57"/>
  <c r="AB247" i="57"/>
  <c r="AB116" i="56"/>
  <c r="AB122" i="56"/>
  <c r="AB117" i="56"/>
  <c r="AB114" i="56"/>
  <c r="AC246" i="57"/>
  <c r="AC244" i="57"/>
  <c r="AC245" i="57"/>
  <c r="AC227" i="57"/>
  <c r="AB224" i="57"/>
  <c r="AB223" i="57"/>
  <c r="AB226" i="57" s="1"/>
  <c r="AC254" i="57"/>
  <c r="AB225" i="57"/>
  <c r="Z235" i="57"/>
  <c r="AA235" i="57" s="1"/>
  <c r="Z233" i="57"/>
  <c r="AA233" i="57" s="1"/>
  <c r="Z232" i="57"/>
  <c r="AA232" i="57" s="1"/>
  <c r="Z231" i="57"/>
  <c r="AA231" i="57" s="1"/>
  <c r="Z228" i="57"/>
  <c r="AA228" i="57" s="1"/>
  <c r="Z234" i="57"/>
  <c r="AA234" i="57" s="1"/>
  <c r="Z230" i="57"/>
  <c r="AA230" i="57" s="1"/>
  <c r="Z229" i="57"/>
  <c r="AA229" i="57" s="1"/>
  <c r="AA215" i="57"/>
  <c r="AA221" i="57"/>
  <c r="AA219" i="57"/>
  <c r="AA218" i="57"/>
  <c r="AA217" i="57"/>
  <c r="AA216" i="57"/>
  <c r="AA220" i="57"/>
  <c r="AA214" i="57"/>
  <c r="AC107" i="56"/>
  <c r="AD106" i="56"/>
  <c r="AC108" i="56"/>
  <c r="AC109" i="56"/>
  <c r="AA204" i="57"/>
  <c r="AA202" i="57"/>
  <c r="AA207" i="57"/>
  <c r="AA205" i="57"/>
  <c r="AA200" i="57"/>
  <c r="AA201" i="57"/>
  <c r="AA206" i="57"/>
  <c r="AA203" i="57"/>
  <c r="AB199" i="57"/>
  <c r="AC247" i="57" l="1"/>
  <c r="AD254" i="57"/>
  <c r="AD245" i="57"/>
  <c r="AD246" i="57"/>
  <c r="AD244" i="57"/>
  <c r="AD247" i="57" s="1"/>
  <c r="AC225" i="57"/>
  <c r="AC223" i="57"/>
  <c r="AD227" i="57"/>
  <c r="AC224" i="57"/>
  <c r="AB260" i="57"/>
  <c r="AB258" i="57"/>
  <c r="AB256" i="57"/>
  <c r="AB257" i="57"/>
  <c r="AB255" i="57"/>
  <c r="AB259" i="57"/>
  <c r="AD107" i="56"/>
  <c r="AE106" i="56"/>
  <c r="AD109" i="56"/>
  <c r="AD108" i="56"/>
  <c r="AD212" i="57"/>
  <c r="AE209" i="57"/>
  <c r="AD211" i="57"/>
  <c r="AD198" i="57"/>
  <c r="AD197" i="57"/>
  <c r="AD196" i="57"/>
  <c r="AD210" i="57"/>
  <c r="AC110" i="56"/>
  <c r="AB235" i="57"/>
  <c r="AB233" i="57"/>
  <c r="AB232" i="57"/>
  <c r="AB234" i="57"/>
  <c r="AB230" i="57"/>
  <c r="AB228" i="57"/>
  <c r="AB229" i="57"/>
  <c r="AB231" i="57"/>
  <c r="AC199" i="57"/>
  <c r="AB201" i="57"/>
  <c r="AB207" i="57"/>
  <c r="AB203" i="57"/>
  <c r="AB206" i="57"/>
  <c r="AB205" i="57"/>
  <c r="AB200" i="57"/>
  <c r="AB204" i="57"/>
  <c r="AB202" i="57"/>
  <c r="AC213" i="57"/>
  <c r="AE246" i="57" l="1"/>
  <c r="AE244" i="57"/>
  <c r="AE227" i="57"/>
  <c r="AD224" i="57"/>
  <c r="AE254" i="57"/>
  <c r="AE245" i="57"/>
  <c r="AD225" i="57"/>
  <c r="AD223" i="57"/>
  <c r="AD226" i="57" s="1"/>
  <c r="AC226" i="57"/>
  <c r="AC206" i="57"/>
  <c r="AC202" i="57"/>
  <c r="AC200" i="57"/>
  <c r="AC205" i="57"/>
  <c r="AC203" i="57"/>
  <c r="AC201" i="57"/>
  <c r="AC204" i="57"/>
  <c r="AC207" i="57"/>
  <c r="AD259" i="57"/>
  <c r="AE109" i="56"/>
  <c r="AF106" i="56"/>
  <c r="AE108" i="56"/>
  <c r="AE107" i="56"/>
  <c r="AD110" i="56"/>
  <c r="AC221" i="57"/>
  <c r="AC219" i="57"/>
  <c r="AC217" i="57"/>
  <c r="AC216" i="57"/>
  <c r="AC215" i="57"/>
  <c r="AC220" i="57"/>
  <c r="AC214" i="57"/>
  <c r="AC218" i="57"/>
  <c r="AC122" i="56"/>
  <c r="AC115" i="56"/>
  <c r="AC123" i="56"/>
  <c r="AC121" i="56"/>
  <c r="AC120" i="56"/>
  <c r="AC119" i="56"/>
  <c r="AC118" i="56"/>
  <c r="AC117" i="56"/>
  <c r="AC111" i="56"/>
  <c r="AC116" i="56"/>
  <c r="AC113" i="56"/>
  <c r="AC114" i="56"/>
  <c r="AC112" i="56"/>
  <c r="AD213" i="57"/>
  <c r="AE197" i="57"/>
  <c r="AE211" i="57"/>
  <c r="AE198" i="57"/>
  <c r="AE210" i="57"/>
  <c r="AE213" i="57" s="1"/>
  <c r="AF209" i="57"/>
  <c r="AE212" i="57"/>
  <c r="AE196" i="57"/>
  <c r="AE199" i="57" s="1"/>
  <c r="AD199" i="57"/>
  <c r="AC259" i="57"/>
  <c r="AC255" i="57"/>
  <c r="AD255" i="57" s="1"/>
  <c r="AC257" i="57"/>
  <c r="AD257" i="57" s="1"/>
  <c r="AC256" i="57"/>
  <c r="AD256" i="57" s="1"/>
  <c r="AC260" i="57"/>
  <c r="AD260" i="57" s="1"/>
  <c r="AC258" i="57"/>
  <c r="AD258" i="57" s="1"/>
  <c r="AC234" i="57" l="1"/>
  <c r="AC235" i="57"/>
  <c r="AC233" i="57"/>
  <c r="AC229" i="57"/>
  <c r="AC231" i="57"/>
  <c r="AD231" i="57" s="1"/>
  <c r="AC228" i="57"/>
  <c r="AD228" i="57" s="1"/>
  <c r="AC230" i="57"/>
  <c r="AD230" i="57" s="1"/>
  <c r="AC232" i="57"/>
  <c r="AD232" i="57" s="1"/>
  <c r="AD235" i="57"/>
  <c r="AD233" i="57"/>
  <c r="AD234" i="57"/>
  <c r="AD229" i="57"/>
  <c r="AF212" i="57"/>
  <c r="AF211" i="57"/>
  <c r="AF210" i="57"/>
  <c r="AF213" i="57" s="1"/>
  <c r="AF196" i="57"/>
  <c r="AG209" i="57"/>
  <c r="AF198" i="57"/>
  <c r="AF197" i="57"/>
  <c r="AE219" i="57"/>
  <c r="AE217" i="57"/>
  <c r="AD207" i="57"/>
  <c r="AE207" i="57" s="1"/>
  <c r="AD205" i="57"/>
  <c r="AE205" i="57" s="1"/>
  <c r="AD202" i="57"/>
  <c r="AE202" i="57" s="1"/>
  <c r="AD204" i="57"/>
  <c r="AE204" i="57" s="1"/>
  <c r="AD201" i="57"/>
  <c r="AE201" i="57" s="1"/>
  <c r="AD203" i="57"/>
  <c r="AE203" i="57" s="1"/>
  <c r="AD200" i="57"/>
  <c r="AE200" i="57" s="1"/>
  <c r="AD206" i="57"/>
  <c r="AE206" i="57" s="1"/>
  <c r="AD114" i="56"/>
  <c r="AD123" i="56"/>
  <c r="AD121" i="56"/>
  <c r="AD120" i="56"/>
  <c r="AD119" i="56"/>
  <c r="AD118" i="56"/>
  <c r="AD122" i="56"/>
  <c r="AD117" i="56"/>
  <c r="AD116" i="56"/>
  <c r="AD115" i="56"/>
  <c r="AD112" i="56"/>
  <c r="AD113" i="56"/>
  <c r="AD111" i="56"/>
  <c r="AE247" i="57"/>
  <c r="AE110" i="56"/>
  <c r="AF245" i="57"/>
  <c r="AF244" i="57"/>
  <c r="AE223" i="57"/>
  <c r="AF254" i="57"/>
  <c r="AF246" i="57"/>
  <c r="AF227" i="57"/>
  <c r="AE224" i="57"/>
  <c r="AE225" i="57"/>
  <c r="AD218" i="57"/>
  <c r="AE218" i="57" s="1"/>
  <c r="AD216" i="57"/>
  <c r="AE216" i="57" s="1"/>
  <c r="AD214" i="57"/>
  <c r="AE214" i="57" s="1"/>
  <c r="AD215" i="57"/>
  <c r="AE215" i="57" s="1"/>
  <c r="AD220" i="57"/>
  <c r="AE220" i="57" s="1"/>
  <c r="AD219" i="57"/>
  <c r="AD221" i="57"/>
  <c r="AE221" i="57" s="1"/>
  <c r="AD217" i="57"/>
  <c r="AF108" i="56"/>
  <c r="AG106" i="56"/>
  <c r="AF109" i="56"/>
  <c r="AF107" i="56"/>
  <c r="AF110" i="56" s="1"/>
  <c r="AG227" i="57" l="1"/>
  <c r="AG246" i="57"/>
  <c r="AG254" i="57"/>
  <c r="AG245" i="57"/>
  <c r="AG244" i="57"/>
  <c r="AF224" i="57"/>
  <c r="AF225" i="57"/>
  <c r="AF223" i="57"/>
  <c r="AF226" i="57" s="1"/>
  <c r="AE226" i="57"/>
  <c r="AH209" i="57"/>
  <c r="AG211" i="57"/>
  <c r="AG198" i="57"/>
  <c r="AG210" i="57"/>
  <c r="AG197" i="57"/>
  <c r="AG212" i="57"/>
  <c r="AG196" i="57"/>
  <c r="AG199" i="57" s="1"/>
  <c r="AF247" i="57"/>
  <c r="AF199" i="57"/>
  <c r="AF216" i="57"/>
  <c r="AF214" i="57"/>
  <c r="AF220" i="57"/>
  <c r="AF219" i="57"/>
  <c r="AF221" i="57"/>
  <c r="AF218" i="57"/>
  <c r="AF215" i="57"/>
  <c r="AF217" i="57"/>
  <c r="AE123" i="56"/>
  <c r="AF123" i="56" s="1"/>
  <c r="AE113" i="56"/>
  <c r="AF113" i="56" s="1"/>
  <c r="AE120" i="56"/>
  <c r="AF120" i="56" s="1"/>
  <c r="AE119" i="56"/>
  <c r="AF119" i="56" s="1"/>
  <c r="AE118" i="56"/>
  <c r="AF118" i="56" s="1"/>
  <c r="AE122" i="56"/>
  <c r="AF122" i="56" s="1"/>
  <c r="AE117" i="56"/>
  <c r="AF117" i="56" s="1"/>
  <c r="AE115" i="56"/>
  <c r="AF115" i="56" s="1"/>
  <c r="AE111" i="56"/>
  <c r="AF111" i="56" s="1"/>
  <c r="AE116" i="56"/>
  <c r="AF116" i="56" s="1"/>
  <c r="AE121" i="56"/>
  <c r="AF121" i="56" s="1"/>
  <c r="AE114" i="56"/>
  <c r="AF114" i="56" s="1"/>
  <c r="AE112" i="56"/>
  <c r="AF112" i="56" s="1"/>
  <c r="AG107" i="56"/>
  <c r="AG110" i="56" s="1"/>
  <c r="AG108" i="56"/>
  <c r="AH106" i="56"/>
  <c r="AG109" i="56"/>
  <c r="AE259" i="57"/>
  <c r="AE255" i="57"/>
  <c r="AE257" i="57"/>
  <c r="AE258" i="57"/>
  <c r="AE256" i="57"/>
  <c r="AE260" i="57"/>
  <c r="AI209" i="57" l="1"/>
  <c r="AH212" i="57"/>
  <c r="AH210" i="57"/>
  <c r="AH213" i="57" s="1"/>
  <c r="AH211" i="57"/>
  <c r="AH198" i="57"/>
  <c r="AH196" i="57"/>
  <c r="AH197" i="57"/>
  <c r="AF234" i="57"/>
  <c r="AF231" i="57"/>
  <c r="AH109" i="56"/>
  <c r="AH108" i="56"/>
  <c r="AI106" i="56"/>
  <c r="AH107" i="56"/>
  <c r="AF205" i="57"/>
  <c r="AF203" i="57"/>
  <c r="AF206" i="57"/>
  <c r="AG206" i="57" s="1"/>
  <c r="AF201" i="57"/>
  <c r="AG201" i="57" s="1"/>
  <c r="AF202" i="57"/>
  <c r="AG202" i="57" s="1"/>
  <c r="AF200" i="57"/>
  <c r="AG200" i="57" s="1"/>
  <c r="AF204" i="57"/>
  <c r="AG204" i="57" s="1"/>
  <c r="AF207" i="57"/>
  <c r="AG207" i="57" s="1"/>
  <c r="AF260" i="57"/>
  <c r="AF258" i="57"/>
  <c r="AF256" i="57"/>
  <c r="AF257" i="57"/>
  <c r="AF255" i="57"/>
  <c r="AF259" i="57"/>
  <c r="AG247" i="57"/>
  <c r="AE234" i="57"/>
  <c r="AE235" i="57"/>
  <c r="AF235" i="57" s="1"/>
  <c r="AE233" i="57"/>
  <c r="AF233" i="57" s="1"/>
  <c r="AE232" i="57"/>
  <c r="AF232" i="57" s="1"/>
  <c r="AE231" i="57"/>
  <c r="AE228" i="57"/>
  <c r="AF228" i="57" s="1"/>
  <c r="AE230" i="57"/>
  <c r="AF230" i="57" s="1"/>
  <c r="AE229" i="57"/>
  <c r="AF229" i="57" s="1"/>
  <c r="AG205" i="57"/>
  <c r="AG203" i="57"/>
  <c r="AG111" i="56"/>
  <c r="AG118" i="56"/>
  <c r="AG122" i="56"/>
  <c r="AG117" i="56"/>
  <c r="AG116" i="56"/>
  <c r="AG115" i="56"/>
  <c r="AG112" i="56"/>
  <c r="AG113" i="56"/>
  <c r="AG121" i="56"/>
  <c r="AG120" i="56"/>
  <c r="AG114" i="56"/>
  <c r="AG119" i="56"/>
  <c r="AG123" i="56"/>
  <c r="AG213" i="57"/>
  <c r="AH244" i="57"/>
  <c r="AH254" i="57"/>
  <c r="AG223" i="57"/>
  <c r="AH227" i="57"/>
  <c r="AH246" i="57"/>
  <c r="AG225" i="57"/>
  <c r="AH245" i="57"/>
  <c r="AG224" i="57"/>
  <c r="AG259" i="57" l="1"/>
  <c r="AG255" i="57"/>
  <c r="AG257" i="57"/>
  <c r="AG256" i="57"/>
  <c r="AG260" i="57"/>
  <c r="AG258" i="57"/>
  <c r="AI227" i="57"/>
  <c r="AI246" i="57"/>
  <c r="AI254" i="57"/>
  <c r="AI245" i="57"/>
  <c r="AH224" i="57"/>
  <c r="AH225" i="57"/>
  <c r="AI244" i="57"/>
  <c r="AH223" i="57"/>
  <c r="AG226" i="57"/>
  <c r="AH110" i="56"/>
  <c r="AI107" i="56"/>
  <c r="AI110" i="56" s="1"/>
  <c r="AI109" i="56"/>
  <c r="AJ106" i="56"/>
  <c r="AI108" i="56"/>
  <c r="AH199" i="57"/>
  <c r="AG221" i="57"/>
  <c r="AH221" i="57" s="1"/>
  <c r="AG219" i="57"/>
  <c r="AH219" i="57" s="1"/>
  <c r="AG217" i="57"/>
  <c r="AH217" i="57" s="1"/>
  <c r="AG215" i="57"/>
  <c r="AG220" i="57"/>
  <c r="AH220" i="57" s="1"/>
  <c r="AG218" i="57"/>
  <c r="AG214" i="57"/>
  <c r="AG216" i="57"/>
  <c r="AH214" i="57"/>
  <c r="AH218" i="57"/>
  <c r="AH216" i="57"/>
  <c r="AH215" i="57"/>
  <c r="AH247" i="57"/>
  <c r="AI212" i="57"/>
  <c r="AI211" i="57"/>
  <c r="AI198" i="57"/>
  <c r="AI210" i="57"/>
  <c r="AI213" i="57" s="1"/>
  <c r="AI196" i="57"/>
  <c r="AJ209" i="57"/>
  <c r="AI197" i="57"/>
  <c r="AH207" i="57" l="1"/>
  <c r="AH203" i="57"/>
  <c r="AH201" i="57"/>
  <c r="AH206" i="57"/>
  <c r="AH204" i="57"/>
  <c r="AH200" i="57"/>
  <c r="AH205" i="57"/>
  <c r="AH202" i="57"/>
  <c r="AJ211" i="57"/>
  <c r="AJ198" i="57"/>
  <c r="AJ197" i="57"/>
  <c r="AJ196" i="57"/>
  <c r="AJ199" i="57" s="1"/>
  <c r="AK209" i="57"/>
  <c r="AJ210" i="57"/>
  <c r="AJ212" i="57"/>
  <c r="AI199" i="57"/>
  <c r="AJ108" i="56"/>
  <c r="AJ109" i="56"/>
  <c r="AJ107" i="56"/>
  <c r="AK106" i="56"/>
  <c r="AJ244" i="57"/>
  <c r="AJ247" i="57" s="1"/>
  <c r="AJ254" i="57"/>
  <c r="AJ245" i="57"/>
  <c r="AI225" i="57"/>
  <c r="AJ246" i="57"/>
  <c r="AI224" i="57"/>
  <c r="AJ227" i="57"/>
  <c r="AI223" i="57"/>
  <c r="AI123" i="56"/>
  <c r="AH123" i="56"/>
  <c r="AH122" i="56"/>
  <c r="AI122" i="56" s="1"/>
  <c r="AH117" i="56"/>
  <c r="AI117" i="56" s="1"/>
  <c r="AH116" i="56"/>
  <c r="AI116" i="56" s="1"/>
  <c r="AH115" i="56"/>
  <c r="AI115" i="56" s="1"/>
  <c r="AH114" i="56"/>
  <c r="AI114" i="56" s="1"/>
  <c r="AH112" i="56"/>
  <c r="AI112" i="56" s="1"/>
  <c r="AH121" i="56"/>
  <c r="AI121" i="56" s="1"/>
  <c r="AH120" i="56"/>
  <c r="AI120" i="56" s="1"/>
  <c r="AH119" i="56"/>
  <c r="AI119" i="56" s="1"/>
  <c r="AH118" i="56"/>
  <c r="AI118" i="56" s="1"/>
  <c r="AH113" i="56"/>
  <c r="AI113" i="56" s="1"/>
  <c r="AH111" i="56"/>
  <c r="AI111" i="56" s="1"/>
  <c r="AH258" i="57"/>
  <c r="AH256" i="57"/>
  <c r="AH260" i="57"/>
  <c r="AH257" i="57"/>
  <c r="AH259" i="57"/>
  <c r="AH255" i="57"/>
  <c r="AH226" i="57"/>
  <c r="AI219" i="57"/>
  <c r="AI217" i="57"/>
  <c r="AI215" i="57"/>
  <c r="AI216" i="57"/>
  <c r="AI221" i="57"/>
  <c r="AI220" i="57"/>
  <c r="AI218" i="57"/>
  <c r="AI214" i="57"/>
  <c r="AG235" i="57"/>
  <c r="AG233" i="57"/>
  <c r="AG232" i="57"/>
  <c r="AG231" i="57"/>
  <c r="AG228" i="57"/>
  <c r="AG230" i="57"/>
  <c r="AG229" i="57"/>
  <c r="AG234" i="57"/>
  <c r="AI247" i="57"/>
  <c r="AK107" i="56" l="1"/>
  <c r="AK110" i="56" s="1"/>
  <c r="AK108" i="56"/>
  <c r="AL106" i="56"/>
  <c r="AK109" i="56"/>
  <c r="AJ110" i="56"/>
  <c r="AI257" i="57"/>
  <c r="AJ257" i="57" s="1"/>
  <c r="AI260" i="57"/>
  <c r="AJ260" i="57" s="1"/>
  <c r="AI258" i="57"/>
  <c r="AJ258" i="57" s="1"/>
  <c r="AI255" i="57"/>
  <c r="AJ255" i="57" s="1"/>
  <c r="AI259" i="57"/>
  <c r="AJ259" i="57" s="1"/>
  <c r="AI256" i="57"/>
  <c r="AJ256" i="57" s="1"/>
  <c r="AI226" i="57"/>
  <c r="AI200" i="57"/>
  <c r="AJ200" i="57" s="1"/>
  <c r="AI206" i="57"/>
  <c r="AJ206" i="57" s="1"/>
  <c r="AI207" i="57"/>
  <c r="AJ207" i="57" s="1"/>
  <c r="AI205" i="57"/>
  <c r="AJ205" i="57" s="1"/>
  <c r="AI202" i="57"/>
  <c r="AJ202" i="57" s="1"/>
  <c r="AI203" i="57"/>
  <c r="AJ203" i="57" s="1"/>
  <c r="AI201" i="57"/>
  <c r="AJ201" i="57" s="1"/>
  <c r="AI204" i="57"/>
  <c r="AJ204" i="57" s="1"/>
  <c r="AK246" i="57"/>
  <c r="AK245" i="57"/>
  <c r="AK227" i="57"/>
  <c r="AK254" i="57"/>
  <c r="AJ223" i="57"/>
  <c r="AJ226" i="57" s="1"/>
  <c r="AK244" i="57"/>
  <c r="AJ224" i="57"/>
  <c r="AJ225" i="57"/>
  <c r="AJ213" i="57"/>
  <c r="AH234" i="57"/>
  <c r="AH232" i="57"/>
  <c r="AH229" i="57"/>
  <c r="AH231" i="57"/>
  <c r="AH235" i="57"/>
  <c r="AH233" i="57"/>
  <c r="AH230" i="57"/>
  <c r="AH228" i="57"/>
  <c r="AK197" i="57"/>
  <c r="AK210" i="57"/>
  <c r="AL209" i="57"/>
  <c r="AK212" i="57"/>
  <c r="AK198" i="57"/>
  <c r="AK196" i="57"/>
  <c r="AK199" i="57" s="1"/>
  <c r="AK211" i="57"/>
  <c r="AJ220" i="57" l="1"/>
  <c r="AJ218" i="57"/>
  <c r="AJ216" i="57"/>
  <c r="AJ221" i="57"/>
  <c r="AJ217" i="57"/>
  <c r="AJ215" i="57"/>
  <c r="AJ214" i="57"/>
  <c r="AJ219" i="57"/>
  <c r="AJ120" i="56"/>
  <c r="AK120" i="56" s="1"/>
  <c r="AJ115" i="56"/>
  <c r="AK115" i="56" s="1"/>
  <c r="AJ114" i="56"/>
  <c r="AK114" i="56" s="1"/>
  <c r="AJ113" i="56"/>
  <c r="AK113" i="56" s="1"/>
  <c r="AJ112" i="56"/>
  <c r="AJ121" i="56"/>
  <c r="AJ116" i="56"/>
  <c r="AK116" i="56" s="1"/>
  <c r="AJ119" i="56"/>
  <c r="AJ122" i="56"/>
  <c r="AJ118" i="56"/>
  <c r="AK118" i="56" s="1"/>
  <c r="AJ123" i="56"/>
  <c r="AJ111" i="56"/>
  <c r="AJ117" i="56"/>
  <c r="AK117" i="56" s="1"/>
  <c r="AL212" i="57"/>
  <c r="AL211" i="57"/>
  <c r="AL210" i="57"/>
  <c r="AL197" i="57"/>
  <c r="AL198" i="57"/>
  <c r="AL196" i="57"/>
  <c r="AL199" i="57" s="1"/>
  <c r="AL108" i="56"/>
  <c r="AM106" i="56"/>
  <c r="AL109" i="56"/>
  <c r="AL107" i="56"/>
  <c r="AK247" i="57"/>
  <c r="AJ235" i="57"/>
  <c r="AK206" i="57"/>
  <c r="AK204" i="57"/>
  <c r="AK207" i="57"/>
  <c r="AK200" i="57"/>
  <c r="AK201" i="57"/>
  <c r="AK203" i="57"/>
  <c r="AK205" i="57"/>
  <c r="AK202" i="57"/>
  <c r="AK213" i="57"/>
  <c r="AK119" i="56"/>
  <c r="AK112" i="56"/>
  <c r="AK111" i="56"/>
  <c r="AK121" i="56"/>
  <c r="AK122" i="56"/>
  <c r="AK123" i="56"/>
  <c r="AI235" i="57"/>
  <c r="AI233" i="57"/>
  <c r="AJ233" i="57" s="1"/>
  <c r="AI232" i="57"/>
  <c r="AJ232" i="57" s="1"/>
  <c r="AI231" i="57"/>
  <c r="AJ231" i="57" s="1"/>
  <c r="AI230" i="57"/>
  <c r="AJ230" i="57" s="1"/>
  <c r="AI229" i="57"/>
  <c r="AJ229" i="57" s="1"/>
  <c r="AI228" i="57"/>
  <c r="AJ228" i="57" s="1"/>
  <c r="AI234" i="57"/>
  <c r="AJ234" i="57" s="1"/>
  <c r="AL244" i="57"/>
  <c r="AL254" i="57"/>
  <c r="AL245" i="57"/>
  <c r="AK225" i="57"/>
  <c r="AL246" i="57"/>
  <c r="AK223" i="57"/>
  <c r="AK224" i="57"/>
  <c r="AL227" i="57"/>
  <c r="AL213" i="57" l="1"/>
  <c r="AL247" i="57"/>
  <c r="AK260" i="57"/>
  <c r="AK259" i="57"/>
  <c r="AK255" i="57"/>
  <c r="AK258" i="57"/>
  <c r="AK256" i="57"/>
  <c r="AK257" i="57"/>
  <c r="AL110" i="56"/>
  <c r="AM254" i="57"/>
  <c r="AL223" i="57"/>
  <c r="AL224" i="57"/>
  <c r="AM244" i="57"/>
  <c r="AL225" i="57"/>
  <c r="AM227" i="57"/>
  <c r="AM246" i="57"/>
  <c r="AM245" i="57"/>
  <c r="AM109" i="56"/>
  <c r="AM108" i="56"/>
  <c r="AN106" i="56"/>
  <c r="AM107" i="56"/>
  <c r="AM110" i="56" s="1"/>
  <c r="AK226" i="57"/>
  <c r="AL203" i="57"/>
  <c r="AM203" i="57" s="1"/>
  <c r="AL207" i="57"/>
  <c r="AM207" i="57" s="1"/>
  <c r="AL200" i="57"/>
  <c r="AM200" i="57" s="1"/>
  <c r="AL202" i="57"/>
  <c r="AM202" i="57" s="1"/>
  <c r="AL204" i="57"/>
  <c r="AM204" i="57" s="1"/>
  <c r="AL201" i="57"/>
  <c r="AM201" i="57" s="1"/>
  <c r="AL206" i="57"/>
  <c r="AM206" i="57" s="1"/>
  <c r="AL205" i="57"/>
  <c r="AM205" i="57" s="1"/>
  <c r="AK217" i="57"/>
  <c r="AK215" i="57"/>
  <c r="AK221" i="57"/>
  <c r="AK214" i="57"/>
  <c r="AK219" i="57"/>
  <c r="AK218" i="57"/>
  <c r="AK216" i="57"/>
  <c r="AK220" i="57"/>
  <c r="AL226" i="57" l="1"/>
  <c r="AK235" i="57"/>
  <c r="AK233" i="57"/>
  <c r="AK232" i="57"/>
  <c r="AK231" i="57"/>
  <c r="AK230" i="57"/>
  <c r="AK229" i="57"/>
  <c r="AK228" i="57"/>
  <c r="AK234" i="57"/>
  <c r="AM123" i="56"/>
  <c r="AM117" i="56"/>
  <c r="AM112" i="56"/>
  <c r="AM121" i="56"/>
  <c r="AM120" i="56"/>
  <c r="AM119" i="56"/>
  <c r="AM113" i="56"/>
  <c r="AM116" i="56"/>
  <c r="AM122" i="56"/>
  <c r="AM114" i="56"/>
  <c r="AM118" i="56"/>
  <c r="AM115" i="56"/>
  <c r="AM111" i="56"/>
  <c r="AL118" i="56"/>
  <c r="AL113" i="56"/>
  <c r="AL111" i="56"/>
  <c r="AL121" i="56"/>
  <c r="AL120" i="56"/>
  <c r="AL116" i="56"/>
  <c r="AL119" i="56"/>
  <c r="AL122" i="56"/>
  <c r="AL114" i="56"/>
  <c r="AL123" i="56"/>
  <c r="AL112" i="56"/>
  <c r="AL117" i="56"/>
  <c r="AL115" i="56"/>
  <c r="AN107" i="56"/>
  <c r="AN110" i="56" s="1"/>
  <c r="AO106" i="56"/>
  <c r="AN108" i="56"/>
  <c r="AN109" i="56"/>
  <c r="AN254" i="57"/>
  <c r="AN245" i="57"/>
  <c r="AN246" i="57"/>
  <c r="AM225" i="57"/>
  <c r="AM223" i="57"/>
  <c r="AM224" i="57"/>
  <c r="AN244" i="57"/>
  <c r="AN227" i="57"/>
  <c r="AL260" i="57"/>
  <c r="AL259" i="57"/>
  <c r="AL255" i="57"/>
  <c r="AL258" i="57"/>
  <c r="AL256" i="57"/>
  <c r="AL257" i="57"/>
  <c r="AM247" i="57"/>
  <c r="AL220" i="57"/>
  <c r="AM220" i="57" s="1"/>
  <c r="AL218" i="57"/>
  <c r="AM218" i="57" s="1"/>
  <c r="AL216" i="57"/>
  <c r="AM216" i="57" s="1"/>
  <c r="AL221" i="57"/>
  <c r="AM221" i="57" s="1"/>
  <c r="AL214" i="57"/>
  <c r="AM214" i="57" s="1"/>
  <c r="AL219" i="57"/>
  <c r="AM219" i="57" s="1"/>
  <c r="AL217" i="57"/>
  <c r="AM217" i="57" s="1"/>
  <c r="AL215" i="57"/>
  <c r="AM215" i="57" s="1"/>
  <c r="AN123" i="56" l="1"/>
  <c r="AN122" i="56"/>
  <c r="AN116" i="56"/>
  <c r="AN111" i="56"/>
  <c r="AN121" i="56"/>
  <c r="AN120" i="56"/>
  <c r="AN119" i="56"/>
  <c r="AN118" i="56"/>
  <c r="AN114" i="56"/>
  <c r="AN115" i="56"/>
  <c r="AN117" i="56"/>
  <c r="AN112" i="56"/>
  <c r="AN113" i="56"/>
  <c r="AN247" i="57"/>
  <c r="AM226" i="57"/>
  <c r="AO246" i="57"/>
  <c r="AO244" i="57"/>
  <c r="AO247" i="57" s="1"/>
  <c r="AN224" i="57"/>
  <c r="AO227" i="57"/>
  <c r="AO245" i="57"/>
  <c r="AN223" i="57"/>
  <c r="AO254" i="57"/>
  <c r="AN225" i="57"/>
  <c r="AM259" i="57"/>
  <c r="AM255" i="57"/>
  <c r="AM258" i="57"/>
  <c r="AM256" i="57"/>
  <c r="AM257" i="57"/>
  <c r="AM260" i="57"/>
  <c r="AO108" i="56"/>
  <c r="AP106" i="56"/>
  <c r="AO109" i="56"/>
  <c r="AO107" i="56"/>
  <c r="AO110" i="56" s="1"/>
  <c r="AL232" i="57"/>
  <c r="AL234" i="57"/>
  <c r="AL235" i="57"/>
  <c r="AL233" i="57"/>
  <c r="AL231" i="57"/>
  <c r="AL228" i="57"/>
  <c r="AL230" i="57"/>
  <c r="AL229" i="57"/>
  <c r="AO122" i="56" l="1"/>
  <c r="AO123" i="56"/>
  <c r="AO115" i="56"/>
  <c r="AO121" i="56"/>
  <c r="AO120" i="56"/>
  <c r="AO119" i="56"/>
  <c r="AO118" i="56"/>
  <c r="AO117" i="56"/>
  <c r="AO116" i="56"/>
  <c r="AO114" i="56"/>
  <c r="AO111" i="56"/>
  <c r="AO112" i="56"/>
  <c r="AO113" i="56"/>
  <c r="AN226" i="57"/>
  <c r="AP107" i="56"/>
  <c r="AP110" i="56" s="1"/>
  <c r="AP108" i="56"/>
  <c r="AP109" i="56"/>
  <c r="AQ106" i="56"/>
  <c r="AP254" i="57"/>
  <c r="AP245" i="57"/>
  <c r="AP246" i="57"/>
  <c r="AP244" i="57"/>
  <c r="AP247" i="57" s="1"/>
  <c r="AO225" i="57"/>
  <c r="AO223" i="57"/>
  <c r="AO226" i="57" s="1"/>
  <c r="AP227" i="57"/>
  <c r="AO224" i="57"/>
  <c r="AM234" i="57"/>
  <c r="AM230" i="57"/>
  <c r="AM229" i="57"/>
  <c r="AM235" i="57"/>
  <c r="AM233" i="57"/>
  <c r="AM231" i="57"/>
  <c r="AM228" i="57"/>
  <c r="AM232" i="57"/>
  <c r="AN260" i="57"/>
  <c r="AO260" i="57" s="1"/>
  <c r="AN258" i="57"/>
  <c r="AO258" i="57" s="1"/>
  <c r="AN256" i="57"/>
  <c r="AO256" i="57" s="1"/>
  <c r="AN257" i="57"/>
  <c r="AO257" i="57" s="1"/>
  <c r="AN255" i="57"/>
  <c r="AO255" i="57" s="1"/>
  <c r="AN259" i="57"/>
  <c r="AO259" i="57" s="1"/>
  <c r="AP260" i="57" l="1"/>
  <c r="AP258" i="57"/>
  <c r="AP256" i="57"/>
  <c r="AP259" i="57"/>
  <c r="AP257" i="57"/>
  <c r="AP255" i="57"/>
  <c r="AQ109" i="56"/>
  <c r="AR106" i="56"/>
  <c r="AQ107" i="56"/>
  <c r="AQ108" i="56"/>
  <c r="AN235" i="57"/>
  <c r="AO235" i="57" s="1"/>
  <c r="AN233" i="57"/>
  <c r="AO233" i="57" s="1"/>
  <c r="AN232" i="57"/>
  <c r="AO232" i="57" s="1"/>
  <c r="AN231" i="57"/>
  <c r="AO231" i="57" s="1"/>
  <c r="AN228" i="57"/>
  <c r="AO228" i="57" s="1"/>
  <c r="AN229" i="57"/>
  <c r="AO229" i="57" s="1"/>
  <c r="AN230" i="57"/>
  <c r="AO230" i="57" s="1"/>
  <c r="AN234" i="57"/>
  <c r="AO234" i="57" s="1"/>
  <c r="AP114" i="56"/>
  <c r="AP121" i="56"/>
  <c r="AP120" i="56"/>
  <c r="AP119" i="56"/>
  <c r="AP118" i="56"/>
  <c r="AP117" i="56"/>
  <c r="AP116" i="56"/>
  <c r="AP122" i="56"/>
  <c r="AP123" i="56"/>
  <c r="AP115" i="56"/>
  <c r="AP111" i="56"/>
  <c r="AP112" i="56"/>
  <c r="AP113" i="56"/>
  <c r="AQ246" i="57"/>
  <c r="AQ244" i="57"/>
  <c r="AQ254" i="57"/>
  <c r="AP224" i="57"/>
  <c r="AQ227" i="57"/>
  <c r="AQ245" i="57"/>
  <c r="AP223" i="57"/>
  <c r="AP226" i="57" s="1"/>
  <c r="AP225" i="57"/>
  <c r="AQ223" i="57" l="1"/>
  <c r="AR254" i="57"/>
  <c r="AR227" i="57"/>
  <c r="AQ225" i="57"/>
  <c r="AQ224" i="57"/>
  <c r="AP235" i="57"/>
  <c r="AP233" i="57"/>
  <c r="AP234" i="57"/>
  <c r="AP232" i="57"/>
  <c r="AP230" i="57"/>
  <c r="AP228" i="57"/>
  <c r="AP231" i="57"/>
  <c r="AP229" i="57"/>
  <c r="AQ247" i="57"/>
  <c r="AQ110" i="56"/>
  <c r="AR108" i="56"/>
  <c r="AS106" i="56"/>
  <c r="AR109" i="56"/>
  <c r="AR107" i="56"/>
  <c r="AR110" i="56" l="1"/>
  <c r="AS109" i="56"/>
  <c r="AS107" i="56"/>
  <c r="AS108" i="56"/>
  <c r="AT106" i="56"/>
  <c r="AQ123" i="56"/>
  <c r="AQ113" i="56"/>
  <c r="AQ120" i="56"/>
  <c r="AQ119" i="56"/>
  <c r="AQ118" i="56"/>
  <c r="AQ117" i="56"/>
  <c r="AQ122" i="56"/>
  <c r="AQ121" i="56"/>
  <c r="AQ114" i="56"/>
  <c r="AQ115" i="56"/>
  <c r="AQ111" i="56"/>
  <c r="AQ112" i="56"/>
  <c r="AQ116" i="56"/>
  <c r="AS227" i="57"/>
  <c r="AS254" i="57"/>
  <c r="AR224" i="57"/>
  <c r="AR225" i="57"/>
  <c r="AR223" i="57"/>
  <c r="AR226" i="57" s="1"/>
  <c r="AQ259" i="57"/>
  <c r="AQ255" i="57"/>
  <c r="AQ257" i="57"/>
  <c r="AQ256" i="57"/>
  <c r="AQ258" i="57"/>
  <c r="AQ260" i="57"/>
  <c r="AR245" i="57"/>
  <c r="AR244" i="57"/>
  <c r="AR246" i="57"/>
  <c r="AQ226" i="57"/>
  <c r="AQ234" i="57" l="1"/>
  <c r="AQ235" i="57"/>
  <c r="AR235" i="57" s="1"/>
  <c r="AQ233" i="57"/>
  <c r="AQ232" i="57"/>
  <c r="AQ229" i="57"/>
  <c r="AR229" i="57" s="1"/>
  <c r="AQ231" i="57"/>
  <c r="AQ228" i="57"/>
  <c r="AQ230" i="57"/>
  <c r="AS246" i="57"/>
  <c r="AT254" i="57"/>
  <c r="AS245" i="57"/>
  <c r="AS244" i="57"/>
  <c r="AS247" i="57" s="1"/>
  <c r="AR247" i="57"/>
  <c r="AS223" i="57"/>
  <c r="AT227" i="57"/>
  <c r="AS225" i="57"/>
  <c r="AS224" i="57"/>
  <c r="AR233" i="57"/>
  <c r="AR230" i="57"/>
  <c r="AR232" i="57"/>
  <c r="AR228" i="57"/>
  <c r="AR234" i="57"/>
  <c r="AR231" i="57"/>
  <c r="AT109" i="56"/>
  <c r="AU106" i="56"/>
  <c r="AT107" i="56"/>
  <c r="AT108" i="56"/>
  <c r="AS110" i="56"/>
  <c r="AR123" i="56"/>
  <c r="AR112" i="56"/>
  <c r="AR119" i="56"/>
  <c r="AR118" i="56"/>
  <c r="AR117" i="56"/>
  <c r="AR116" i="56"/>
  <c r="AR122" i="56"/>
  <c r="AR121" i="56"/>
  <c r="AR114" i="56"/>
  <c r="AR120" i="56"/>
  <c r="AR115" i="56"/>
  <c r="AR113" i="56"/>
  <c r="AR111" i="56"/>
  <c r="AT244" i="57" l="1"/>
  <c r="AU254" i="57"/>
  <c r="AT245" i="57"/>
  <c r="AT246" i="57"/>
  <c r="AS111" i="56"/>
  <c r="AS118" i="56"/>
  <c r="AS117" i="56"/>
  <c r="AS116" i="56"/>
  <c r="AS122" i="56"/>
  <c r="AS115" i="56"/>
  <c r="AS123" i="56"/>
  <c r="AS121" i="56"/>
  <c r="AS114" i="56"/>
  <c r="AS120" i="56"/>
  <c r="AS119" i="56"/>
  <c r="AS112" i="56"/>
  <c r="AS113" i="56"/>
  <c r="AT110" i="56"/>
  <c r="AU107" i="56"/>
  <c r="AV106" i="56"/>
  <c r="AU109" i="56"/>
  <c r="AU108" i="56"/>
  <c r="AU227" i="57"/>
  <c r="AT224" i="57"/>
  <c r="AT225" i="57"/>
  <c r="AT223" i="57"/>
  <c r="AT226" i="57" s="1"/>
  <c r="AS226" i="57"/>
  <c r="AR260" i="57"/>
  <c r="AS260" i="57" s="1"/>
  <c r="AR258" i="57"/>
  <c r="AS258" i="57" s="1"/>
  <c r="AR256" i="57"/>
  <c r="AS256" i="57" s="1"/>
  <c r="AR259" i="57"/>
  <c r="AS259" i="57" s="1"/>
  <c r="AR257" i="57"/>
  <c r="AS257" i="57" s="1"/>
  <c r="AR255" i="57"/>
  <c r="AS255" i="57" s="1"/>
  <c r="AS235" i="57" l="1"/>
  <c r="AT235" i="57" s="1"/>
  <c r="AS233" i="57"/>
  <c r="AT233" i="57" s="1"/>
  <c r="AS232" i="57"/>
  <c r="AT232" i="57" s="1"/>
  <c r="AS231" i="57"/>
  <c r="AT231" i="57" s="1"/>
  <c r="AS234" i="57"/>
  <c r="AT234" i="57" s="1"/>
  <c r="AS228" i="57"/>
  <c r="AT228" i="57" s="1"/>
  <c r="AS230" i="57"/>
  <c r="AT230" i="57" s="1"/>
  <c r="AS229" i="57"/>
  <c r="AT229" i="57" s="1"/>
  <c r="AU246" i="57"/>
  <c r="AV254" i="57"/>
  <c r="AU245" i="57"/>
  <c r="AU244" i="57"/>
  <c r="AU247" i="57" s="1"/>
  <c r="AT247" i="57"/>
  <c r="AU225" i="57"/>
  <c r="AV227" i="57"/>
  <c r="AU224" i="57"/>
  <c r="AU223" i="57"/>
  <c r="AV108" i="56"/>
  <c r="AV107" i="56"/>
  <c r="AV109" i="56"/>
  <c r="AW106" i="56"/>
  <c r="AU110" i="56"/>
  <c r="AT123" i="56"/>
  <c r="AT117" i="56"/>
  <c r="AT116" i="56"/>
  <c r="AT122" i="56"/>
  <c r="AT115" i="56"/>
  <c r="AT114" i="56"/>
  <c r="AT120" i="56"/>
  <c r="AT119" i="56"/>
  <c r="AT111" i="56"/>
  <c r="AT112" i="56"/>
  <c r="AT118" i="56"/>
  <c r="AT113" i="56"/>
  <c r="AT121" i="56"/>
  <c r="AV223" i="57" l="1"/>
  <c r="AV226" i="57" s="1"/>
  <c r="AV224" i="57"/>
  <c r="AV225" i="57"/>
  <c r="AT258" i="57"/>
  <c r="AT256" i="57"/>
  <c r="AU256" i="57" s="1"/>
  <c r="AT255" i="57"/>
  <c r="AU255" i="57" s="1"/>
  <c r="AT257" i="57"/>
  <c r="AT259" i="57"/>
  <c r="AT260" i="57"/>
  <c r="AU260" i="57" s="1"/>
  <c r="AU257" i="57"/>
  <c r="AU258" i="57"/>
  <c r="AU259" i="57"/>
  <c r="AU123" i="56"/>
  <c r="AU122" i="56"/>
  <c r="AU121" i="56"/>
  <c r="AU116" i="56"/>
  <c r="AU115" i="56"/>
  <c r="AU114" i="56"/>
  <c r="AU113" i="56"/>
  <c r="AU119" i="56"/>
  <c r="AU112" i="56"/>
  <c r="AU118" i="56"/>
  <c r="AU117" i="56"/>
  <c r="AU111" i="56"/>
  <c r="AU120" i="56"/>
  <c r="AV244" i="57"/>
  <c r="AV245" i="57"/>
  <c r="AW254" i="57"/>
  <c r="AV246" i="57"/>
  <c r="AW107" i="56"/>
  <c r="AW108" i="56"/>
  <c r="AW109" i="56"/>
  <c r="S133" i="56"/>
  <c r="AJ142" i="56"/>
  <c r="AK181" i="56" s="1"/>
  <c r="U133" i="56"/>
  <c r="AA138" i="56"/>
  <c r="U137" i="56"/>
  <c r="AL142" i="56"/>
  <c r="AM181" i="56" s="1"/>
  <c r="AE134" i="56"/>
  <c r="X141" i="56"/>
  <c r="AM135" i="56"/>
  <c r="AD143" i="56"/>
  <c r="AE182" i="56" s="1"/>
  <c r="AB144" i="56"/>
  <c r="AC183" i="56" s="1"/>
  <c r="AC142" i="56"/>
  <c r="AD181" i="56" s="1"/>
  <c r="AF135" i="56"/>
  <c r="AB134" i="56"/>
  <c r="T143" i="56"/>
  <c r="U182" i="56" s="1"/>
  <c r="AK134" i="56"/>
  <c r="T144" i="56"/>
  <c r="U183" i="56" s="1"/>
  <c r="AB133" i="56"/>
  <c r="AF132" i="56"/>
  <c r="AI142" i="56"/>
  <c r="AJ181" i="56" s="1"/>
  <c r="AL141" i="56"/>
  <c r="AA136" i="56"/>
  <c r="AE144" i="56"/>
  <c r="AF183" i="56" s="1"/>
  <c r="AB138" i="56"/>
  <c r="AC137" i="56"/>
  <c r="X137" i="56"/>
  <c r="AI143" i="56"/>
  <c r="AJ182" i="56" s="1"/>
  <c r="Z135" i="56"/>
  <c r="AD142" i="56"/>
  <c r="AE181" i="56" s="1"/>
  <c r="T134" i="56"/>
  <c r="AB137" i="56"/>
  <c r="V136" i="56"/>
  <c r="AH135" i="56"/>
  <c r="AD136" i="56"/>
  <c r="AF138" i="56"/>
  <c r="U138" i="56"/>
  <c r="AC138" i="56"/>
  <c r="AM136" i="56"/>
  <c r="AD138" i="56"/>
  <c r="AI144" i="56"/>
  <c r="AJ183" i="56" s="1"/>
  <c r="W142" i="56"/>
  <c r="X181" i="56" s="1"/>
  <c r="W136" i="56"/>
  <c r="W139" i="56"/>
  <c r="AF137" i="56"/>
  <c r="W134" i="56"/>
  <c r="Y135" i="56"/>
  <c r="AK143" i="56"/>
  <c r="AL182" i="56" s="1"/>
  <c r="AD144" i="56"/>
  <c r="AE183" i="56" s="1"/>
  <c r="AB139" i="56"/>
  <c r="AA134" i="56"/>
  <c r="AK140" i="56"/>
  <c r="U135" i="56"/>
  <c r="AH141" i="56"/>
  <c r="AM132" i="56"/>
  <c r="V142" i="56"/>
  <c r="W181" i="56" s="1"/>
  <c r="AM133" i="56"/>
  <c r="AM138" i="56"/>
  <c r="AC144" i="56"/>
  <c r="AD183" i="56" s="1"/>
  <c r="AA144" i="56"/>
  <c r="AB183" i="56" s="1"/>
  <c r="T138" i="56"/>
  <c r="AE142" i="56"/>
  <c r="AF181" i="56" s="1"/>
  <c r="AM139" i="56"/>
  <c r="AJ143" i="56"/>
  <c r="AK182" i="56" s="1"/>
  <c r="AB141" i="56"/>
  <c r="AH142" i="56"/>
  <c r="AI181" i="56" s="1"/>
  <c r="U142" i="56"/>
  <c r="V181" i="56" s="1"/>
  <c r="AC140" i="56"/>
  <c r="AK136" i="56"/>
  <c r="AM144" i="56"/>
  <c r="AN183" i="56" s="1"/>
  <c r="AB143" i="56"/>
  <c r="AC182" i="56" s="1"/>
  <c r="AL133" i="56"/>
  <c r="X133" i="56"/>
  <c r="T136" i="56"/>
  <c r="AL138" i="56"/>
  <c r="AD141" i="56"/>
  <c r="AD135" i="56"/>
  <c r="U134" i="56"/>
  <c r="AK139" i="56"/>
  <c r="AG139" i="56"/>
  <c r="AF142" i="56"/>
  <c r="AG181" i="56" s="1"/>
  <c r="Y140" i="56"/>
  <c r="AK132" i="56"/>
  <c r="U140" i="56"/>
  <c r="Y137" i="56"/>
  <c r="AG134" i="56"/>
  <c r="AA137" i="56"/>
  <c r="Y139" i="56"/>
  <c r="AH140" i="56"/>
  <c r="AF134" i="56"/>
  <c r="AE141" i="56"/>
  <c r="AF144" i="56"/>
  <c r="AG183" i="56" s="1"/>
  <c r="AC134" i="56"/>
  <c r="X134" i="56"/>
  <c r="X132" i="56"/>
  <c r="X138" i="56"/>
  <c r="W132" i="56"/>
  <c r="T135" i="56"/>
  <c r="AL139" i="56"/>
  <c r="AC135" i="56"/>
  <c r="AF136" i="56"/>
  <c r="Y138" i="56"/>
  <c r="Y144" i="56"/>
  <c r="Z183" i="56" s="1"/>
  <c r="AG137" i="56"/>
  <c r="Z132" i="56"/>
  <c r="AK133" i="56"/>
  <c r="AG141" i="56"/>
  <c r="AM143" i="56"/>
  <c r="AN182" i="56" s="1"/>
  <c r="AL136" i="56"/>
  <c r="AI138" i="56"/>
  <c r="AM142" i="56"/>
  <c r="AN181" i="56" s="1"/>
  <c r="X139" i="56"/>
  <c r="AH144" i="56"/>
  <c r="AI183" i="56" s="1"/>
  <c r="W144" i="56"/>
  <c r="X183" i="56" s="1"/>
  <c r="AG143" i="56"/>
  <c r="AH182" i="56" s="1"/>
  <c r="AB135" i="56"/>
  <c r="AD132" i="56"/>
  <c r="Z143" i="56"/>
  <c r="AA182" i="56" s="1"/>
  <c r="U139" i="56"/>
  <c r="AE133" i="56"/>
  <c r="AL135" i="56"/>
  <c r="AC141" i="56"/>
  <c r="Z136" i="56"/>
  <c r="Y132" i="56"/>
  <c r="AI137" i="56"/>
  <c r="AB136" i="56"/>
  <c r="AM137" i="56"/>
  <c r="AF139" i="56"/>
  <c r="AG135" i="56"/>
  <c r="AL132" i="56"/>
  <c r="Z137" i="56"/>
  <c r="AE135" i="56"/>
  <c r="AJ139" i="56"/>
  <c r="AL144" i="56"/>
  <c r="AM183" i="56" s="1"/>
  <c r="AL134" i="56"/>
  <c r="AE140" i="56"/>
  <c r="V135" i="56"/>
  <c r="AH133" i="56"/>
  <c r="AJ144" i="56"/>
  <c r="AK183" i="56" s="1"/>
  <c r="AF133" i="56"/>
  <c r="Y142" i="56"/>
  <c r="Z181" i="56" s="1"/>
  <c r="AE136" i="56"/>
  <c r="Y134" i="56"/>
  <c r="AA133" i="56"/>
  <c r="AC132" i="56"/>
  <c r="AF140" i="56"/>
  <c r="Z144" i="56"/>
  <c r="AA183" i="56" s="1"/>
  <c r="AG144" i="56"/>
  <c r="AH183" i="56" s="1"/>
  <c r="AD134" i="56"/>
  <c r="T141" i="56"/>
  <c r="AA143" i="56"/>
  <c r="AB182" i="56" s="1"/>
  <c r="AK138" i="56"/>
  <c r="W138" i="56"/>
  <c r="AI136" i="56"/>
  <c r="W135" i="56"/>
  <c r="U136" i="56"/>
  <c r="AA132" i="56"/>
  <c r="AJ133" i="56"/>
  <c r="W143" i="56"/>
  <c r="X182" i="56" s="1"/>
  <c r="V138" i="56"/>
  <c r="AG140" i="56"/>
  <c r="AI132" i="56"/>
  <c r="AI140" i="56"/>
  <c r="AG136" i="56"/>
  <c r="AI133" i="56"/>
  <c r="AI139" i="56"/>
  <c r="AH143" i="56"/>
  <c r="AI182" i="56" s="1"/>
  <c r="V137" i="56"/>
  <c r="AK144" i="56"/>
  <c r="AL183" i="56" s="1"/>
  <c r="Z138" i="56"/>
  <c r="W137" i="56"/>
  <c r="AM134" i="56"/>
  <c r="AB132" i="56"/>
  <c r="W133" i="56"/>
  <c r="AE132" i="56"/>
  <c r="AI135" i="56"/>
  <c r="AE143" i="56"/>
  <c r="AF182" i="56" s="1"/>
  <c r="Y141" i="56"/>
  <c r="AA141" i="56"/>
  <c r="AD139" i="56"/>
  <c r="AG132" i="56"/>
  <c r="AJ138" i="56"/>
  <c r="AJ132" i="56"/>
  <c r="AM140" i="56"/>
  <c r="V141" i="56"/>
  <c r="AG133" i="56"/>
  <c r="AE137" i="56"/>
  <c r="AI141" i="56"/>
  <c r="AH136" i="56"/>
  <c r="Y133" i="56"/>
  <c r="AJ135" i="56"/>
  <c r="AD140" i="56"/>
  <c r="AL143" i="56"/>
  <c r="AM182" i="56" s="1"/>
  <c r="X136" i="56"/>
  <c r="X135" i="56"/>
  <c r="AC139" i="56"/>
  <c r="AA142" i="56"/>
  <c r="AB181" i="56" s="1"/>
  <c r="AH132" i="56"/>
  <c r="AB140" i="56"/>
  <c r="AH138" i="56"/>
  <c r="V133" i="56"/>
  <c r="AD133" i="56"/>
  <c r="AH134" i="56"/>
  <c r="AK137" i="56"/>
  <c r="AI134" i="56"/>
  <c r="AC143" i="56"/>
  <c r="AD182" i="56" s="1"/>
  <c r="X140" i="56"/>
  <c r="V140" i="56"/>
  <c r="AJ134" i="56"/>
  <c r="AH139" i="56"/>
  <c r="AE139" i="56"/>
  <c r="AC136" i="56"/>
  <c r="AJ140" i="56"/>
  <c r="W140" i="56"/>
  <c r="AG142" i="56"/>
  <c r="AH181" i="56" s="1"/>
  <c r="X142" i="56"/>
  <c r="Y181" i="56" s="1"/>
  <c r="U141" i="56"/>
  <c r="AL137" i="56"/>
  <c r="AM141" i="56"/>
  <c r="X144" i="56"/>
  <c r="Y183" i="56" s="1"/>
  <c r="AD137" i="56"/>
  <c r="Z142" i="56"/>
  <c r="AA181" i="56" s="1"/>
  <c r="AC133" i="56"/>
  <c r="Z139" i="56"/>
  <c r="AG138" i="56"/>
  <c r="V134" i="56"/>
  <c r="U132" i="56"/>
  <c r="AK141" i="56"/>
  <c r="V143" i="56"/>
  <c r="W182" i="56" s="1"/>
  <c r="AK135" i="56"/>
  <c r="V144" i="56"/>
  <c r="W183" i="56" s="1"/>
  <c r="AB142" i="56"/>
  <c r="AC181" i="56" s="1"/>
  <c r="AL140" i="56"/>
  <c r="AE138" i="56"/>
  <c r="Z134" i="56"/>
  <c r="AF143" i="56"/>
  <c r="AG182" i="56" s="1"/>
  <c r="AJ137" i="56"/>
  <c r="U144" i="56"/>
  <c r="V183" i="56" s="1"/>
  <c r="Z141" i="56"/>
  <c r="V139" i="56"/>
  <c r="AK142" i="56"/>
  <c r="AL181" i="56" s="1"/>
  <c r="Y136" i="56"/>
  <c r="Y143" i="56"/>
  <c r="Z182" i="56" s="1"/>
  <c r="AH137" i="56"/>
  <c r="Z140" i="56"/>
  <c r="Z133" i="56"/>
  <c r="V132" i="56"/>
  <c r="AA140" i="56"/>
  <c r="AJ141" i="56"/>
  <c r="AA135" i="56"/>
  <c r="AA139" i="56"/>
  <c r="AJ136" i="56"/>
  <c r="AF141" i="56"/>
  <c r="W141" i="56"/>
  <c r="X143" i="56"/>
  <c r="Y182" i="56" s="1"/>
  <c r="AV110" i="56"/>
  <c r="AU226" i="57"/>
  <c r="AV121" i="56" l="1"/>
  <c r="AV120" i="56"/>
  <c r="AV115" i="56"/>
  <c r="AV122" i="56"/>
  <c r="AV114" i="56"/>
  <c r="AV113" i="56"/>
  <c r="AV112" i="56"/>
  <c r="AV123" i="56"/>
  <c r="AV119" i="56"/>
  <c r="AV111" i="56"/>
  <c r="AV118" i="56"/>
  <c r="AV117" i="56"/>
  <c r="AV116" i="56"/>
  <c r="AV247" i="57"/>
  <c r="AU235" i="57"/>
  <c r="AU233" i="57"/>
  <c r="AU232" i="57"/>
  <c r="AU231" i="57"/>
  <c r="AU230" i="57"/>
  <c r="AU229" i="57"/>
  <c r="AU228" i="57"/>
  <c r="AU234" i="57"/>
  <c r="AW110" i="56"/>
  <c r="AW246" i="57"/>
  <c r="AX254" i="57"/>
  <c r="AW245" i="57"/>
  <c r="AW244" i="57"/>
  <c r="AV234" i="57"/>
  <c r="AW234" i="57" s="1"/>
  <c r="AX234" i="57" s="1"/>
  <c r="AV228" i="57"/>
  <c r="AW228" i="57" s="1"/>
  <c r="AX228" i="57" s="1"/>
  <c r="AV230" i="57"/>
  <c r="AW230" i="57" s="1"/>
  <c r="AX230" i="57" s="1"/>
  <c r="AV232" i="57"/>
  <c r="AW232" i="57" s="1"/>
  <c r="AX232" i="57" s="1"/>
  <c r="AV229" i="57"/>
  <c r="AW229" i="57" s="1"/>
  <c r="AX229" i="57" s="1"/>
  <c r="AV231" i="57"/>
  <c r="AW231" i="57" s="1"/>
  <c r="AX231" i="57" s="1"/>
  <c r="AV235" i="57"/>
  <c r="AW235" i="57" s="1"/>
  <c r="AX235" i="57" s="1"/>
  <c r="AV233" i="57"/>
  <c r="AW233" i="57" s="1"/>
  <c r="AX233" i="57" s="1"/>
  <c r="AW119" i="56" l="1"/>
  <c r="AW122" i="56"/>
  <c r="AW114" i="56"/>
  <c r="AW113" i="56"/>
  <c r="AW112" i="56"/>
  <c r="AW123" i="56"/>
  <c r="AW111" i="56"/>
  <c r="AW118" i="56"/>
  <c r="AW115" i="56"/>
  <c r="AW117" i="56"/>
  <c r="AW121" i="56"/>
  <c r="AW120" i="56"/>
  <c r="AW116" i="56"/>
  <c r="AW247" i="57"/>
  <c r="AV260" i="57"/>
  <c r="AV259" i="57"/>
  <c r="AV255" i="57"/>
  <c r="AV256" i="57"/>
  <c r="AV257" i="57"/>
  <c r="AV258" i="57"/>
  <c r="AX244" i="57"/>
  <c r="AX245" i="57"/>
  <c r="AY254" i="57"/>
  <c r="AX246" i="57"/>
  <c r="AX120" i="56" l="1"/>
  <c r="AN141" i="56"/>
  <c r="AX121" i="56"/>
  <c r="AN142" i="56"/>
  <c r="AO181" i="56" s="1"/>
  <c r="AX118" i="56"/>
  <c r="AN139" i="56"/>
  <c r="AX111" i="56"/>
  <c r="AN132" i="56"/>
  <c r="AX123" i="56"/>
  <c r="AN144" i="56"/>
  <c r="AO183" i="56" s="1"/>
  <c r="AZ254" i="57"/>
  <c r="AY246" i="57"/>
  <c r="AY244" i="57"/>
  <c r="AY245" i="57"/>
  <c r="AX112" i="56"/>
  <c r="AN133" i="56"/>
  <c r="AX113" i="56"/>
  <c r="AN134" i="56"/>
  <c r="AX247" i="57"/>
  <c r="AX114" i="56"/>
  <c r="AN135" i="56"/>
  <c r="AX117" i="56"/>
  <c r="AN138" i="56"/>
  <c r="AX115" i="56"/>
  <c r="AN136" i="56"/>
  <c r="BA259" i="57"/>
  <c r="BA255" i="57"/>
  <c r="BA257" i="57"/>
  <c r="AW260" i="57"/>
  <c r="AW259" i="57"/>
  <c r="AW255" i="57"/>
  <c r="AW258" i="57"/>
  <c r="AW256" i="57"/>
  <c r="BA260" i="57"/>
  <c r="AW257" i="57"/>
  <c r="BA256" i="57"/>
  <c r="BA258" i="57"/>
  <c r="AX122" i="56"/>
  <c r="AN143" i="56"/>
  <c r="AO182" i="56" s="1"/>
  <c r="AX116" i="56"/>
  <c r="AN137" i="56"/>
  <c r="AX119" i="56"/>
  <c r="AN140" i="56"/>
  <c r="AY115" i="56" l="1"/>
  <c r="AO136" i="56"/>
  <c r="AZ245" i="57"/>
  <c r="AZ246" i="57"/>
  <c r="BA254" i="57"/>
  <c r="AZ244" i="57"/>
  <c r="AZ247" i="57" s="1"/>
  <c r="AY123" i="56"/>
  <c r="AO144" i="56"/>
  <c r="AP183" i="56" s="1"/>
  <c r="AY114" i="56"/>
  <c r="AP135" i="56" s="1"/>
  <c r="AO135" i="56"/>
  <c r="BB260" i="57"/>
  <c r="BB258" i="57"/>
  <c r="BB256" i="57"/>
  <c r="AX260" i="57"/>
  <c r="AY260" i="57" s="1"/>
  <c r="AZ260" i="57" s="1"/>
  <c r="AX259" i="57"/>
  <c r="AY259" i="57" s="1"/>
  <c r="AZ259" i="57" s="1"/>
  <c r="AX255" i="57"/>
  <c r="AY255" i="57" s="1"/>
  <c r="AZ255" i="57" s="1"/>
  <c r="AX258" i="57"/>
  <c r="AY258" i="57" s="1"/>
  <c r="AZ258" i="57" s="1"/>
  <c r="AX256" i="57"/>
  <c r="AY256" i="57" s="1"/>
  <c r="AZ256" i="57" s="1"/>
  <c r="AX257" i="57"/>
  <c r="AY257" i="57" s="1"/>
  <c r="AZ257" i="57" s="1"/>
  <c r="BB257" i="57"/>
  <c r="BB259" i="57"/>
  <c r="BB255" i="57"/>
  <c r="AY111" i="56"/>
  <c r="AO132" i="56"/>
  <c r="AY117" i="56"/>
  <c r="AO138" i="56"/>
  <c r="AY119" i="56"/>
  <c r="AO140" i="56"/>
  <c r="AY113" i="56"/>
  <c r="AO134" i="56"/>
  <c r="AY118" i="56"/>
  <c r="AO139" i="56"/>
  <c r="AY116" i="56"/>
  <c r="AO137" i="56"/>
  <c r="AY112" i="56"/>
  <c r="AO133" i="56"/>
  <c r="AY121" i="56"/>
  <c r="AO142" i="56"/>
  <c r="AP181" i="56" s="1"/>
  <c r="AY122" i="56"/>
  <c r="AO143" i="56"/>
  <c r="AP182" i="56" s="1"/>
  <c r="AY247" i="57"/>
  <c r="AY120" i="56"/>
  <c r="AO141" i="56"/>
  <c r="R133" i="56" l="1"/>
  <c r="T133" i="56"/>
  <c r="AP133" i="56"/>
  <c r="S132" i="56"/>
  <c r="T132" i="56"/>
  <c r="AP132" i="56"/>
  <c r="T139" i="56"/>
  <c r="S139" i="56"/>
  <c r="AP139" i="56"/>
  <c r="S144" i="56"/>
  <c r="T183" i="56" s="1"/>
  <c r="R144" i="56"/>
  <c r="S183" i="56" s="1"/>
  <c r="AP144" i="56"/>
  <c r="AQ183" i="56" s="1"/>
  <c r="R141" i="56"/>
  <c r="S141" i="56"/>
  <c r="AP141" i="56"/>
  <c r="BC259" i="57"/>
  <c r="BD259" i="57" s="1"/>
  <c r="BC255" i="57"/>
  <c r="BD255" i="57" s="1"/>
  <c r="BC257" i="57"/>
  <c r="BD257" i="57" s="1"/>
  <c r="BC260" i="57"/>
  <c r="BD260" i="57" s="1"/>
  <c r="BC258" i="57"/>
  <c r="BD258" i="57" s="1"/>
  <c r="BC256" i="57"/>
  <c r="BD256" i="57" s="1"/>
  <c r="S134" i="56"/>
  <c r="AP134" i="56"/>
  <c r="BB254" i="57"/>
  <c r="BA246" i="57"/>
  <c r="BA244" i="57"/>
  <c r="BA247" i="57" s="1"/>
  <c r="BA245" i="57"/>
  <c r="R138" i="56"/>
  <c r="S138" i="56"/>
  <c r="AP138" i="56"/>
  <c r="S137" i="56"/>
  <c r="R137" i="56"/>
  <c r="T137" i="56"/>
  <c r="AP137" i="56"/>
  <c r="S142" i="56"/>
  <c r="T181" i="56" s="1"/>
  <c r="T142" i="56"/>
  <c r="U181" i="56" s="1"/>
  <c r="AP142" i="56"/>
  <c r="AQ181" i="56" s="1"/>
  <c r="S143" i="56"/>
  <c r="T182" i="56" s="1"/>
  <c r="U143" i="56"/>
  <c r="V182" i="56" s="1"/>
  <c r="AP143" i="56"/>
  <c r="AQ182" i="56" s="1"/>
  <c r="R140" i="56"/>
  <c r="S140" i="56"/>
  <c r="T140" i="56"/>
  <c r="AP140" i="56"/>
  <c r="R136" i="56"/>
  <c r="AP136" i="56"/>
  <c r="BE260" i="57" l="1"/>
  <c r="BE259" i="57"/>
  <c r="BE255" i="57"/>
  <c r="BE257" i="57"/>
  <c r="BE256" i="57"/>
  <c r="BE258" i="57"/>
  <c r="BB245" i="57"/>
  <c r="BB246" i="57"/>
  <c r="BB244" i="57"/>
  <c r="BB247" i="57" s="1"/>
  <c r="BC254" i="57"/>
  <c r="BC246" i="57" l="1"/>
  <c r="BC244" i="57"/>
  <c r="BC247" i="57" s="1"/>
  <c r="BC245" i="57"/>
  <c r="D254" i="55" l="1"/>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J244" i="55"/>
  <c r="D244" i="55"/>
  <c r="A244" i="55"/>
  <c r="D243" i="55"/>
  <c r="O243" i="55" s="1"/>
  <c r="A243" i="55"/>
  <c r="D242" i="55"/>
  <c r="J242" i="55" s="1"/>
  <c r="A242" i="55"/>
  <c r="D241" i="55"/>
  <c r="O241" i="55" s="1"/>
  <c r="N241" i="55" s="1"/>
  <c r="A241" i="55"/>
  <c r="D240" i="55"/>
  <c r="A240" i="55"/>
  <c r="D239" i="55"/>
  <c r="O239" i="55" s="1"/>
  <c r="A239" i="55"/>
  <c r="D238" i="55"/>
  <c r="J238" i="55" s="1"/>
  <c r="A238" i="55"/>
  <c r="D237" i="55"/>
  <c r="A237" i="55"/>
  <c r="D236" i="55"/>
  <c r="J236" i="55" s="1"/>
  <c r="A236" i="55"/>
  <c r="D235" i="55"/>
  <c r="J235" i="55" s="1"/>
  <c r="A235" i="55"/>
  <c r="D234" i="55"/>
  <c r="O234" i="55" s="1"/>
  <c r="A234" i="55"/>
  <c r="D233" i="55"/>
  <c r="O233" i="55" s="1"/>
  <c r="M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J219" i="55"/>
  <c r="D219" i="55"/>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B211"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J202" i="55"/>
  <c r="D202" i="55"/>
  <c r="A202" i="55"/>
  <c r="D201" i="55"/>
  <c r="A201" i="55"/>
  <c r="D200" i="55"/>
  <c r="O200" i="55" s="1"/>
  <c r="N200" i="55" s="1"/>
  <c r="A200" i="55"/>
  <c r="D199" i="55"/>
  <c r="A199" i="55"/>
  <c r="D198" i="55"/>
  <c r="O198" i="55" s="1"/>
  <c r="M198" i="55" s="1"/>
  <c r="A198" i="55"/>
  <c r="D197" i="55"/>
  <c r="O197" i="55" s="1"/>
  <c r="N197" i="55" s="1"/>
  <c r="A197" i="55"/>
  <c r="D196" i="55"/>
  <c r="O196" i="55" s="1"/>
  <c r="M196" i="55" s="1"/>
  <c r="A196" i="55"/>
  <c r="D195" i="55"/>
  <c r="O195" i="55" s="1"/>
  <c r="A195" i="55"/>
  <c r="D194" i="55"/>
  <c r="O194" i="55" s="1"/>
  <c r="M194" i="55" s="1"/>
  <c r="A194" i="55"/>
  <c r="D193" i="55"/>
  <c r="O193" i="55" s="1"/>
  <c r="N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J177" i="55"/>
  <c r="D177" i="55"/>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A165" i="55"/>
  <c r="D164" i="55"/>
  <c r="J164" i="55" s="1"/>
  <c r="A164" i="55"/>
  <c r="D163" i="55"/>
  <c r="A163" i="55"/>
  <c r="D162" i="55"/>
  <c r="O162" i="55" s="1"/>
  <c r="A162" i="55"/>
  <c r="D161" i="55"/>
  <c r="J161" i="55" s="1"/>
  <c r="A161" i="55"/>
  <c r="D160" i="55"/>
  <c r="O160" i="55" s="1"/>
  <c r="A160" i="55"/>
  <c r="D159" i="55"/>
  <c r="O159" i="55" s="1"/>
  <c r="A159" i="55"/>
  <c r="D158" i="55"/>
  <c r="J158" i="55" s="1"/>
  <c r="A158" i="55"/>
  <c r="D157" i="55"/>
  <c r="O157" i="55" s="1"/>
  <c r="A157" i="55"/>
  <c r="D156" i="55"/>
  <c r="O156" i="55" s="1"/>
  <c r="M156" i="55" s="1"/>
  <c r="A156" i="55"/>
  <c r="D155" i="55"/>
  <c r="O155" i="55" s="1"/>
  <c r="M155" i="55" s="1"/>
  <c r="A155" i="55"/>
  <c r="A154" i="55"/>
  <c r="D153" i="55"/>
  <c r="J153" i="55" s="1"/>
  <c r="A153" i="55"/>
  <c r="D152" i="55"/>
  <c r="J152" i="55" s="1"/>
  <c r="A152" i="55"/>
  <c r="O151" i="55"/>
  <c r="N151" i="55" s="1"/>
  <c r="D151" i="55"/>
  <c r="J151" i="55" s="1"/>
  <c r="A151" i="55"/>
  <c r="D150" i="55"/>
  <c r="J150" i="55" s="1"/>
  <c r="A150" i="55"/>
  <c r="D149" i="55"/>
  <c r="J149" i="55" s="1"/>
  <c r="A149" i="55"/>
  <c r="D148" i="55"/>
  <c r="J148" i="55" s="1"/>
  <c r="A148" i="55"/>
  <c r="D147" i="55"/>
  <c r="J147" i="55" s="1"/>
  <c r="A147" i="55"/>
  <c r="D146" i="55"/>
  <c r="J146" i="55" s="1"/>
  <c r="A146" i="55"/>
  <c r="D145" i="55"/>
  <c r="J145" i="55" s="1"/>
  <c r="A145" i="55"/>
  <c r="D144" i="55"/>
  <c r="A144" i="55"/>
  <c r="D143" i="55"/>
  <c r="J143" i="55" s="1"/>
  <c r="A143" i="55"/>
  <c r="D142" i="55"/>
  <c r="J142" i="55" s="1"/>
  <c r="A142" i="55"/>
  <c r="D141" i="55"/>
  <c r="A141" i="55"/>
  <c r="D140" i="55"/>
  <c r="O140" i="55" s="1"/>
  <c r="M140" i="55" s="1"/>
  <c r="A140" i="55"/>
  <c r="D139" i="55"/>
  <c r="A139" i="55"/>
  <c r="J138" i="55"/>
  <c r="D138" i="55"/>
  <c r="O138" i="55" s="1"/>
  <c r="A138" i="55"/>
  <c r="J137" i="55"/>
  <c r="D137" i="55"/>
  <c r="O137" i="55" s="1"/>
  <c r="A137" i="55"/>
  <c r="D136" i="55"/>
  <c r="O136" i="55" s="1"/>
  <c r="A136" i="55"/>
  <c r="D135" i="55"/>
  <c r="J135" i="55" s="1"/>
  <c r="A135" i="55"/>
  <c r="D134" i="55"/>
  <c r="O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B91" i="55"/>
  <c r="A91" i="55"/>
  <c r="J90" i="55"/>
  <c r="D90" i="55"/>
  <c r="A90" i="55"/>
  <c r="D89" i="55"/>
  <c r="J89" i="55" s="1"/>
  <c r="A89" i="55"/>
  <c r="D88" i="55"/>
  <c r="J88" i="55" s="1"/>
  <c r="A88" i="55"/>
  <c r="D87" i="55"/>
  <c r="J87" i="55" s="1"/>
  <c r="A87" i="55"/>
  <c r="D86" i="55"/>
  <c r="J86" i="55" s="1"/>
  <c r="A86" i="55"/>
  <c r="D85" i="55"/>
  <c r="J85" i="55" s="1"/>
  <c r="A85" i="55"/>
  <c r="D84" i="55"/>
  <c r="J84" i="55" s="1"/>
  <c r="A84" i="55"/>
  <c r="D83" i="55"/>
  <c r="J83" i="55" s="1"/>
  <c r="A83" i="55"/>
  <c r="D82" i="55"/>
  <c r="J82" i="55" s="1"/>
  <c r="A82" i="55"/>
  <c r="D81" i="55"/>
  <c r="J81" i="55" s="1"/>
  <c r="A81" i="55"/>
  <c r="D80" i="55"/>
  <c r="J80" i="55" s="1"/>
  <c r="A80" i="55"/>
  <c r="D79" i="55"/>
  <c r="A79" i="55"/>
  <c r="D78" i="55"/>
  <c r="O78" i="55" s="1"/>
  <c r="A78" i="55"/>
  <c r="D77" i="55"/>
  <c r="A77" i="55"/>
  <c r="D76" i="55"/>
  <c r="J76" i="55" s="1"/>
  <c r="A76" i="55"/>
  <c r="O75" i="55"/>
  <c r="N75" i="55" s="1"/>
  <c r="D75" i="55"/>
  <c r="J75" i="55" s="1"/>
  <c r="A75" i="55"/>
  <c r="D74" i="55"/>
  <c r="A74" i="55"/>
  <c r="D73" i="55"/>
  <c r="J73" i="55" s="1"/>
  <c r="A73" i="55"/>
  <c r="D72" i="55"/>
  <c r="O72" i="55" s="1"/>
  <c r="A72" i="55"/>
  <c r="D71" i="55"/>
  <c r="O71" i="55" s="1"/>
  <c r="A7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O37" i="55"/>
  <c r="N37" i="55"/>
  <c r="M37" i="55"/>
  <c r="L37" i="55"/>
  <c r="K37" i="55"/>
  <c r="J37" i="55"/>
  <c r="D37" i="55"/>
  <c r="O36" i="55"/>
  <c r="N36" i="55"/>
  <c r="M36" i="55"/>
  <c r="L36" i="55"/>
  <c r="K36" i="55"/>
  <c r="J36" i="55"/>
  <c r="D36" i="55"/>
  <c r="D35" i="55"/>
  <c r="O34" i="55"/>
  <c r="N34" i="55"/>
  <c r="M34" i="55"/>
  <c r="L34" i="55"/>
  <c r="K34" i="55"/>
  <c r="J34" i="55"/>
  <c r="D34" i="55"/>
  <c r="O33" i="55"/>
  <c r="N33" i="55"/>
  <c r="M33" i="55"/>
  <c r="L33" i="55"/>
  <c r="K33" i="55"/>
  <c r="J33" i="55"/>
  <c r="D33" i="55"/>
  <c r="O32" i="55"/>
  <c r="N32" i="55"/>
  <c r="M32" i="55"/>
  <c r="L32" i="55"/>
  <c r="K32" i="55"/>
  <c r="J32" i="55"/>
  <c r="D32" i="55"/>
  <c r="O31" i="55"/>
  <c r="N31" i="55"/>
  <c r="M31" i="55"/>
  <c r="L31" i="55"/>
  <c r="K31" i="55"/>
  <c r="J31" i="55"/>
  <c r="D31" i="55"/>
  <c r="D30" i="55"/>
  <c r="D29" i="55"/>
  <c r="O28" i="55"/>
  <c r="N28" i="55"/>
  <c r="M28" i="55"/>
  <c r="L28" i="55"/>
  <c r="K28" i="55"/>
  <c r="J28" i="55"/>
  <c r="D28" i="55"/>
  <c r="O27" i="55"/>
  <c r="N27" i="55"/>
  <c r="M27" i="55"/>
  <c r="L27" i="55"/>
  <c r="K27" i="55"/>
  <c r="J27" i="55"/>
  <c r="D27" i="55"/>
  <c r="D26" i="55"/>
  <c r="D22" i="55"/>
  <c r="A38" i="55" s="1"/>
  <c r="C22" i="55"/>
  <c r="C53" i="55" s="1"/>
  <c r="B22" i="55"/>
  <c r="B53" i="55" s="1"/>
  <c r="D20" i="55"/>
  <c r="D21" i="55" s="1"/>
  <c r="A37" i="55" s="1"/>
  <c r="C20" i="55"/>
  <c r="B20" i="55"/>
  <c r="B21" i="55" s="1"/>
  <c r="D19" i="55"/>
  <c r="A35" i="55" s="1"/>
  <c r="C19" i="55"/>
  <c r="B19" i="55"/>
  <c r="D15" i="55"/>
  <c r="D16" i="55" s="1"/>
  <c r="A32" i="55" s="1"/>
  <c r="C15" i="55"/>
  <c r="C16" i="55" s="1"/>
  <c r="B15" i="55"/>
  <c r="D14" i="55"/>
  <c r="A30" i="55" s="1"/>
  <c r="C14" i="55"/>
  <c r="C45" i="55" s="1"/>
  <c r="B14" i="55"/>
  <c r="B45" i="55" s="1"/>
  <c r="D13" i="55"/>
  <c r="A29" i="55" s="1"/>
  <c r="C13" i="55"/>
  <c r="C44" i="55" s="1"/>
  <c r="B13" i="55"/>
  <c r="B44" i="55" s="1"/>
  <c r="D12" i="55"/>
  <c r="A28" i="55" s="1"/>
  <c r="C12" i="55"/>
  <c r="C43" i="55" s="1"/>
  <c r="B12" i="55"/>
  <c r="B43" i="55" s="1"/>
  <c r="D11" i="55"/>
  <c r="A27" i="55" s="1"/>
  <c r="C11" i="55"/>
  <c r="C42" i="55" s="1"/>
  <c r="B11" i="55"/>
  <c r="D91" i="55" s="1"/>
  <c r="D10" i="55"/>
  <c r="A26" i="55" s="1"/>
  <c r="C10" i="55"/>
  <c r="C41" i="55" s="1"/>
  <c r="B10" i="55"/>
  <c r="D70" i="55" s="1"/>
  <c r="AK6" i="55"/>
  <c r="AK7" i="55" s="1"/>
  <c r="AJ6" i="55"/>
  <c r="AH6" i="55"/>
  <c r="X6" i="55"/>
  <c r="M6" i="55"/>
  <c r="M7" i="55" s="1"/>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L6" i="55" s="1"/>
  <c r="F5" i="55"/>
  <c r="E5" i="55"/>
  <c r="Y6" i="55" s="1"/>
  <c r="Y7" i="55" s="1"/>
  <c r="D5" i="55"/>
  <c r="AG6" i="55" s="1"/>
  <c r="AP4" i="55"/>
  <c r="AO4" i="55"/>
  <c r="AN4" i="55"/>
  <c r="AM4" i="55"/>
  <c r="AL4" i="55"/>
  <c r="AK4" i="55"/>
  <c r="AJ4" i="55"/>
  <c r="AI4" i="55"/>
  <c r="AH4" i="55"/>
  <c r="AH7" i="55" s="1"/>
  <c r="AG4" i="55"/>
  <c r="AF4" i="55"/>
  <c r="AE4" i="55"/>
  <c r="AD4" i="55"/>
  <c r="AC4" i="55"/>
  <c r="AB4" i="55"/>
  <c r="AA4" i="55"/>
  <c r="Z4" i="55"/>
  <c r="Y4" i="55"/>
  <c r="X4" i="55"/>
  <c r="W4" i="55"/>
  <c r="V4" i="55"/>
  <c r="U4" i="55"/>
  <c r="T4" i="55"/>
  <c r="S4" i="55"/>
  <c r="R4" i="55"/>
  <c r="Q4" i="55"/>
  <c r="P4" i="55"/>
  <c r="O4" i="55"/>
  <c r="N4" i="55"/>
  <c r="M4" i="55"/>
  <c r="L4" i="55"/>
  <c r="K4" i="55"/>
  <c r="J4" i="55"/>
  <c r="P68" i="55"/>
  <c r="O135" i="55" l="1"/>
  <c r="N140" i="55"/>
  <c r="O235" i="55"/>
  <c r="N235" i="55" s="1"/>
  <c r="O238" i="55"/>
  <c r="N196" i="55"/>
  <c r="J156" i="55"/>
  <c r="N195" i="55"/>
  <c r="M195" i="55"/>
  <c r="J193" i="55"/>
  <c r="M193" i="55"/>
  <c r="O161" i="55"/>
  <c r="B51" i="55"/>
  <c r="O142" i="55"/>
  <c r="J195" i="55"/>
  <c r="M200" i="55"/>
  <c r="J253" i="55"/>
  <c r="J159" i="55"/>
  <c r="J243" i="55"/>
  <c r="N234" i="55"/>
  <c r="M234" i="55"/>
  <c r="N157" i="55"/>
  <c r="M157" i="55"/>
  <c r="N71" i="55"/>
  <c r="M71" i="55"/>
  <c r="M78" i="55"/>
  <c r="N78" i="55"/>
  <c r="M134" i="55"/>
  <c r="N134" i="55"/>
  <c r="J71" i="55"/>
  <c r="O88" i="55"/>
  <c r="N88" i="55" s="1"/>
  <c r="J134" i="55"/>
  <c r="N155" i="55"/>
  <c r="J194" i="55"/>
  <c r="J234" i="55"/>
  <c r="O236" i="55"/>
  <c r="D17" i="55"/>
  <c r="A33" i="55" s="1"/>
  <c r="O158" i="55"/>
  <c r="J197" i="55"/>
  <c r="J241" i="55"/>
  <c r="M197" i="55"/>
  <c r="M241" i="55"/>
  <c r="N156" i="55"/>
  <c r="J78" i="55"/>
  <c r="O81" i="55"/>
  <c r="J157" i="55"/>
  <c r="J136" i="55"/>
  <c r="O203" i="55"/>
  <c r="M203" i="55" s="1"/>
  <c r="J140" i="55"/>
  <c r="J160" i="55"/>
  <c r="J196" i="55"/>
  <c r="N233" i="55"/>
  <c r="J239" i="55"/>
  <c r="B42" i="55"/>
  <c r="A31" i="55"/>
  <c r="J200" i="55"/>
  <c r="B52" i="55"/>
  <c r="J6" i="55"/>
  <c r="J7" i="55" s="1"/>
  <c r="C51" i="55"/>
  <c r="C21" i="55"/>
  <c r="C52" i="55" s="1"/>
  <c r="AG7" i="55"/>
  <c r="C17" i="55"/>
  <c r="C47" i="55"/>
  <c r="K7" i="55"/>
  <c r="W7" i="55"/>
  <c r="V6" i="55"/>
  <c r="V7" i="55" s="1"/>
  <c r="D192" i="55"/>
  <c r="B50" i="55"/>
  <c r="R7" i="55"/>
  <c r="L7" i="55"/>
  <c r="X7" i="55"/>
  <c r="AJ7" i="55"/>
  <c r="K6" i="55"/>
  <c r="W6" i="55"/>
  <c r="AI6" i="55"/>
  <c r="AI7" i="55" s="1"/>
  <c r="C192" i="55"/>
  <c r="C50" i="55"/>
  <c r="C70" i="55"/>
  <c r="A36" i="55"/>
  <c r="O77" i="55"/>
  <c r="J77" i="55"/>
  <c r="M142" i="55"/>
  <c r="N142" i="55"/>
  <c r="N6" i="55"/>
  <c r="N7" i="55" s="1"/>
  <c r="Z6" i="55"/>
  <c r="Z7" i="55" s="1"/>
  <c r="AL6" i="55"/>
  <c r="AL7" i="55" s="1"/>
  <c r="B46" i="55"/>
  <c r="O76" i="55"/>
  <c r="O6" i="55"/>
  <c r="O7" i="55" s="1"/>
  <c r="AA6" i="55"/>
  <c r="AA7" i="55" s="1"/>
  <c r="AM6" i="55"/>
  <c r="AM7" i="55" s="1"/>
  <c r="B41" i="55"/>
  <c r="C46" i="55"/>
  <c r="P6" i="55"/>
  <c r="P7" i="55" s="1"/>
  <c r="AB6" i="55"/>
  <c r="AB7" i="55" s="1"/>
  <c r="AN6" i="55"/>
  <c r="AN7" i="55" s="1"/>
  <c r="M72" i="55"/>
  <c r="N72" i="55"/>
  <c r="O73" i="55"/>
  <c r="Q6" i="55"/>
  <c r="Q7" i="55" s="1"/>
  <c r="AC6" i="55"/>
  <c r="AC7" i="55" s="1"/>
  <c r="AO6" i="55"/>
  <c r="AO7" i="55" s="1"/>
  <c r="J72" i="55"/>
  <c r="R6" i="55"/>
  <c r="AD6" i="55"/>
  <c r="AD7" i="55" s="1"/>
  <c r="AP6" i="55"/>
  <c r="AP7" i="55" s="1"/>
  <c r="J79" i="55"/>
  <c r="O79" i="55"/>
  <c r="S6" i="55"/>
  <c r="S7" i="55" s="1"/>
  <c r="AE6" i="55"/>
  <c r="AE7" i="55" s="1"/>
  <c r="B16" i="55"/>
  <c r="M137" i="55"/>
  <c r="N137" i="55"/>
  <c r="T6" i="55"/>
  <c r="T7" i="55" s="1"/>
  <c r="AF6" i="55"/>
  <c r="AF7" i="55" s="1"/>
  <c r="M75" i="55"/>
  <c r="U6" i="55"/>
  <c r="U7" i="55" s="1"/>
  <c r="O74" i="55"/>
  <c r="J74" i="55"/>
  <c r="M138" i="55"/>
  <c r="N138" i="55"/>
  <c r="N136" i="55"/>
  <c r="M136" i="55"/>
  <c r="O139" i="55"/>
  <c r="J139" i="55"/>
  <c r="J237" i="55"/>
  <c r="O237" i="55"/>
  <c r="C91" i="55"/>
  <c r="B112" i="55"/>
  <c r="N135" i="55"/>
  <c r="M135" i="55"/>
  <c r="J144" i="55"/>
  <c r="O144" i="55"/>
  <c r="J165" i="55"/>
  <c r="O165" i="55"/>
  <c r="J199" i="55"/>
  <c r="O199" i="55"/>
  <c r="N159" i="55"/>
  <c r="M159" i="55"/>
  <c r="M151" i="55"/>
  <c r="J163" i="55"/>
  <c r="O163" i="55"/>
  <c r="M162" i="55"/>
  <c r="N162" i="55"/>
  <c r="J141" i="55"/>
  <c r="O141" i="55"/>
  <c r="J155" i="55"/>
  <c r="M160" i="55"/>
  <c r="N160" i="55"/>
  <c r="M161" i="55"/>
  <c r="N161" i="55"/>
  <c r="J162" i="55"/>
  <c r="N198" i="55"/>
  <c r="O201" i="55"/>
  <c r="J201" i="55"/>
  <c r="N239" i="55"/>
  <c r="M239" i="55"/>
  <c r="N194" i="55"/>
  <c r="J198" i="55"/>
  <c r="C211" i="55"/>
  <c r="D211" i="55"/>
  <c r="J233" i="55"/>
  <c r="M243" i="55"/>
  <c r="N243" i="55"/>
  <c r="B230" i="55"/>
  <c r="N238" i="55"/>
  <c r="M238" i="55"/>
  <c r="N253" i="55"/>
  <c r="M253" i="55"/>
  <c r="O240" i="55"/>
  <c r="J240" i="55"/>
  <c r="F87" i="53"/>
  <c r="F88" i="53"/>
  <c r="P5" i="53"/>
  <c r="O5" i="53"/>
  <c r="N5" i="53"/>
  <c r="M5" i="53"/>
  <c r="L5" i="53"/>
  <c r="K5" i="53"/>
  <c r="G57" i="53"/>
  <c r="E57" i="53" s="1"/>
  <c r="G58" i="53"/>
  <c r="E58" i="53" s="1"/>
  <c r="G59" i="53"/>
  <c r="E59" i="53" s="1"/>
  <c r="G60" i="53"/>
  <c r="E60" i="53" s="1"/>
  <c r="G61" i="53"/>
  <c r="E61" i="53" s="1"/>
  <c r="G62" i="53"/>
  <c r="E62" i="53" s="1"/>
  <c r="G63" i="53"/>
  <c r="E63" i="53" s="1"/>
  <c r="G64" i="53"/>
  <c r="E64" i="53" s="1"/>
  <c r="G56" i="53"/>
  <c r="E56" i="53" s="1"/>
  <c r="M235" i="55" l="1"/>
  <c r="M88" i="55"/>
  <c r="N81" i="55"/>
  <c r="M81" i="55"/>
  <c r="N203" i="55"/>
  <c r="P31" i="55"/>
  <c r="Q31" i="55" s="1"/>
  <c r="P28" i="55"/>
  <c r="D18" i="55"/>
  <c r="A34" i="55" s="1"/>
  <c r="M236" i="55"/>
  <c r="N236" i="55"/>
  <c r="M158" i="55"/>
  <c r="N158" i="55"/>
  <c r="P36" i="55"/>
  <c r="S45" i="55"/>
  <c r="T45" i="55" s="1"/>
  <c r="U45" i="55" s="1"/>
  <c r="V45" i="55" s="1"/>
  <c r="W45" i="55" s="1"/>
  <c r="X45" i="55" s="1"/>
  <c r="Y45" i="55" s="1"/>
  <c r="Z45" i="55" s="1"/>
  <c r="AA45" i="55" s="1"/>
  <c r="N44" i="55"/>
  <c r="O44" i="55" s="1"/>
  <c r="P44" i="55" s="1"/>
  <c r="Q44" i="55" s="1"/>
  <c r="N46" i="55"/>
  <c r="O46" i="55" s="1"/>
  <c r="P46" i="55" s="1"/>
  <c r="Q46" i="55" s="1"/>
  <c r="J52" i="55"/>
  <c r="K52" i="55" s="1"/>
  <c r="L52" i="55" s="1"/>
  <c r="M52" i="55" s="1"/>
  <c r="N52" i="55" s="1"/>
  <c r="O52" i="55" s="1"/>
  <c r="P52" i="55" s="1"/>
  <c r="Q52" i="55" s="1"/>
  <c r="J46" i="55"/>
  <c r="J47" i="55"/>
  <c r="J50" i="55"/>
  <c r="J51" i="55"/>
  <c r="J49" i="55"/>
  <c r="J41" i="55"/>
  <c r="J44" i="55"/>
  <c r="J53" i="55"/>
  <c r="J48" i="55"/>
  <c r="J42" i="55"/>
  <c r="K42" i="55" s="1"/>
  <c r="L42" i="55" s="1"/>
  <c r="M42" i="55" s="1"/>
  <c r="N42" i="55" s="1"/>
  <c r="O42" i="55" s="1"/>
  <c r="P42" i="55" s="1"/>
  <c r="Q42" i="55" s="1"/>
  <c r="J45" i="55"/>
  <c r="K45" i="55" s="1"/>
  <c r="L45" i="55" s="1"/>
  <c r="M45" i="55" s="1"/>
  <c r="N45" i="55" s="1"/>
  <c r="O45" i="55" s="1"/>
  <c r="P45" i="55" s="1"/>
  <c r="Q45" i="55" s="1"/>
  <c r="J43" i="55"/>
  <c r="K43" i="55" s="1"/>
  <c r="L43" i="55" s="1"/>
  <c r="M43" i="55" s="1"/>
  <c r="N43" i="55" s="1"/>
  <c r="O43" i="55" s="1"/>
  <c r="P43" i="55" s="1"/>
  <c r="Q43" i="55" s="1"/>
  <c r="AC45" i="55"/>
  <c r="AD45" i="55" s="1"/>
  <c r="AE45" i="55" s="1"/>
  <c r="AF45" i="55" s="1"/>
  <c r="AG45" i="55" s="1"/>
  <c r="AH45" i="55" s="1"/>
  <c r="AI45" i="55" s="1"/>
  <c r="AJ45" i="55" s="1"/>
  <c r="AK45" i="55" s="1"/>
  <c r="AL45" i="55" s="1"/>
  <c r="AM45" i="55" s="1"/>
  <c r="AC47" i="55"/>
  <c r="AD47" i="55" s="1"/>
  <c r="AE47" i="55" s="1"/>
  <c r="AF47" i="55" s="1"/>
  <c r="AG47" i="55" s="1"/>
  <c r="AH47" i="55" s="1"/>
  <c r="AI47" i="55" s="1"/>
  <c r="AJ47" i="55" s="1"/>
  <c r="AK47" i="55" s="1"/>
  <c r="AL47" i="55" s="1"/>
  <c r="AM47" i="55" s="1"/>
  <c r="AO46" i="55"/>
  <c r="AP46" i="55" s="1"/>
  <c r="AO51" i="55"/>
  <c r="AP51" i="55" s="1"/>
  <c r="AO52" i="55"/>
  <c r="AP52" i="55" s="1"/>
  <c r="R49" i="55"/>
  <c r="S49" i="55" s="1"/>
  <c r="T49" i="55" s="1"/>
  <c r="U49" i="55" s="1"/>
  <c r="V49" i="55" s="1"/>
  <c r="W49" i="55" s="1"/>
  <c r="X49" i="55" s="1"/>
  <c r="Y49" i="55" s="1"/>
  <c r="Z49" i="55" s="1"/>
  <c r="AA49" i="55" s="1"/>
  <c r="R52" i="55"/>
  <c r="S52" i="55" s="1"/>
  <c r="T52" i="55" s="1"/>
  <c r="U52" i="55" s="1"/>
  <c r="V52" i="55" s="1"/>
  <c r="W52" i="55" s="1"/>
  <c r="X52" i="55" s="1"/>
  <c r="Y52" i="55" s="1"/>
  <c r="Z52" i="55" s="1"/>
  <c r="AA52" i="55" s="1"/>
  <c r="R42" i="55"/>
  <c r="S42" i="55" s="1"/>
  <c r="T42" i="55" s="1"/>
  <c r="U42" i="55" s="1"/>
  <c r="V42" i="55" s="1"/>
  <c r="W42" i="55" s="1"/>
  <c r="X42" i="55" s="1"/>
  <c r="Y42" i="55" s="1"/>
  <c r="Z42" i="55" s="1"/>
  <c r="AA42" i="55" s="1"/>
  <c r="R53" i="55"/>
  <c r="S53" i="55" s="1"/>
  <c r="T53" i="55" s="1"/>
  <c r="U53" i="55" s="1"/>
  <c r="V53" i="55" s="1"/>
  <c r="W53" i="55" s="1"/>
  <c r="X53" i="55" s="1"/>
  <c r="Y53" i="55" s="1"/>
  <c r="Z53" i="55" s="1"/>
  <c r="AA53" i="55" s="1"/>
  <c r="R48" i="55"/>
  <c r="S48" i="55" s="1"/>
  <c r="T48" i="55" s="1"/>
  <c r="U48" i="55" s="1"/>
  <c r="V48" i="55" s="1"/>
  <c r="W48" i="55" s="1"/>
  <c r="X48" i="55" s="1"/>
  <c r="Y48" i="55" s="1"/>
  <c r="Z48" i="55" s="1"/>
  <c r="AA48" i="55" s="1"/>
  <c r="R43" i="55"/>
  <c r="S43" i="55" s="1"/>
  <c r="T43" i="55" s="1"/>
  <c r="U43" i="55" s="1"/>
  <c r="V43" i="55" s="1"/>
  <c r="W43" i="55" s="1"/>
  <c r="X43" i="55" s="1"/>
  <c r="Y43" i="55" s="1"/>
  <c r="Z43" i="55" s="1"/>
  <c r="AA43" i="55" s="1"/>
  <c r="R45" i="55"/>
  <c r="R51" i="55"/>
  <c r="S51" i="55" s="1"/>
  <c r="T51" i="55" s="1"/>
  <c r="U51" i="55" s="1"/>
  <c r="V51" i="55" s="1"/>
  <c r="W51" i="55" s="1"/>
  <c r="X51" i="55" s="1"/>
  <c r="Y51" i="55" s="1"/>
  <c r="Z51" i="55" s="1"/>
  <c r="AA51" i="55" s="1"/>
  <c r="R50" i="55"/>
  <c r="S50" i="55" s="1"/>
  <c r="T50" i="55" s="1"/>
  <c r="U50" i="55" s="1"/>
  <c r="V50" i="55" s="1"/>
  <c r="W50" i="55" s="1"/>
  <c r="X50" i="55" s="1"/>
  <c r="Y50" i="55" s="1"/>
  <c r="Z50" i="55" s="1"/>
  <c r="AA50" i="55" s="1"/>
  <c r="R47" i="55"/>
  <c r="S47" i="55" s="1"/>
  <c r="T47" i="55" s="1"/>
  <c r="U47" i="55" s="1"/>
  <c r="V47" i="55" s="1"/>
  <c r="W47" i="55" s="1"/>
  <c r="X47" i="55" s="1"/>
  <c r="Y47" i="55" s="1"/>
  <c r="Z47" i="55" s="1"/>
  <c r="AA47" i="55" s="1"/>
  <c r="R41" i="55"/>
  <c r="S41" i="55" s="1"/>
  <c r="T41" i="55" s="1"/>
  <c r="U41" i="55" s="1"/>
  <c r="V41" i="55" s="1"/>
  <c r="W41" i="55" s="1"/>
  <c r="X41" i="55" s="1"/>
  <c r="Y41" i="55" s="1"/>
  <c r="Z41" i="55" s="1"/>
  <c r="AA41" i="55" s="1"/>
  <c r="R44" i="55"/>
  <c r="S44" i="55" s="1"/>
  <c r="T44" i="55" s="1"/>
  <c r="U44" i="55" s="1"/>
  <c r="V44" i="55" s="1"/>
  <c r="W44" i="55" s="1"/>
  <c r="X44" i="55" s="1"/>
  <c r="Y44" i="55" s="1"/>
  <c r="Z44" i="55" s="1"/>
  <c r="AA44" i="55" s="1"/>
  <c r="R46" i="55"/>
  <c r="S46" i="55" s="1"/>
  <c r="T46" i="55" s="1"/>
  <c r="U46" i="55" s="1"/>
  <c r="V46" i="55" s="1"/>
  <c r="W46" i="55" s="1"/>
  <c r="X46" i="55" s="1"/>
  <c r="Y46" i="55" s="1"/>
  <c r="Z46" i="55" s="1"/>
  <c r="AA46" i="55" s="1"/>
  <c r="K53" i="55"/>
  <c r="K47" i="55"/>
  <c r="L47" i="55" s="1"/>
  <c r="M47" i="55" s="1"/>
  <c r="N47" i="55" s="1"/>
  <c r="O47" i="55" s="1"/>
  <c r="P47" i="55" s="1"/>
  <c r="Q47" i="55" s="1"/>
  <c r="K50" i="55"/>
  <c r="L50" i="55" s="1"/>
  <c r="M50" i="55" s="1"/>
  <c r="N50" i="55" s="1"/>
  <c r="O50" i="55" s="1"/>
  <c r="P50" i="55" s="1"/>
  <c r="Q50" i="55" s="1"/>
  <c r="K51" i="55"/>
  <c r="L51" i="55" s="1"/>
  <c r="M51" i="55" s="1"/>
  <c r="N51" i="55" s="1"/>
  <c r="O51" i="55" s="1"/>
  <c r="P51" i="55" s="1"/>
  <c r="Q51" i="55" s="1"/>
  <c r="K49" i="55"/>
  <c r="K41" i="55"/>
  <c r="K44" i="55"/>
  <c r="K46" i="55"/>
  <c r="K48" i="55"/>
  <c r="M163" i="55"/>
  <c r="N163" i="55"/>
  <c r="N74" i="55"/>
  <c r="M74" i="55"/>
  <c r="AN47" i="55"/>
  <c r="AO47" i="55" s="1"/>
  <c r="AP47" i="55" s="1"/>
  <c r="AN53" i="55"/>
  <c r="AO53" i="55" s="1"/>
  <c r="AP53" i="55" s="1"/>
  <c r="AN49" i="55"/>
  <c r="AO49" i="55" s="1"/>
  <c r="AP49" i="55" s="1"/>
  <c r="AN44" i="55"/>
  <c r="AO44" i="55" s="1"/>
  <c r="AP44" i="55" s="1"/>
  <c r="AN42" i="55"/>
  <c r="AO42" i="55" s="1"/>
  <c r="AP42" i="55" s="1"/>
  <c r="AN43" i="55"/>
  <c r="AO43" i="55" s="1"/>
  <c r="AP43" i="55" s="1"/>
  <c r="AN50" i="55"/>
  <c r="AO50" i="55" s="1"/>
  <c r="AP50" i="55" s="1"/>
  <c r="AN46" i="55"/>
  <c r="AN51" i="55"/>
  <c r="AN48" i="55"/>
  <c r="AO48" i="55" s="1"/>
  <c r="AP48" i="55" s="1"/>
  <c r="AN52" i="55"/>
  <c r="AN45" i="55"/>
  <c r="AO45" i="55" s="1"/>
  <c r="AP45" i="55" s="1"/>
  <c r="AN41" i="55"/>
  <c r="AO41" i="55" s="1"/>
  <c r="AP41" i="55" s="1"/>
  <c r="P37" i="55"/>
  <c r="D112" i="55"/>
  <c r="B133" i="55"/>
  <c r="C112" i="55"/>
  <c r="AB47" i="55"/>
  <c r="AB53" i="55"/>
  <c r="AC53" i="55" s="1"/>
  <c r="AD53" i="55" s="1"/>
  <c r="AE53" i="55" s="1"/>
  <c r="AF53" i="55" s="1"/>
  <c r="AG53" i="55" s="1"/>
  <c r="AH53" i="55" s="1"/>
  <c r="AI53" i="55" s="1"/>
  <c r="AJ53" i="55" s="1"/>
  <c r="AK53" i="55" s="1"/>
  <c r="AL53" i="55" s="1"/>
  <c r="AM53" i="55" s="1"/>
  <c r="AB52" i="55"/>
  <c r="AC52" i="55" s="1"/>
  <c r="AD52" i="55" s="1"/>
  <c r="AE52" i="55" s="1"/>
  <c r="AF52" i="55" s="1"/>
  <c r="AG52" i="55" s="1"/>
  <c r="AH52" i="55" s="1"/>
  <c r="AI52" i="55" s="1"/>
  <c r="AJ52" i="55" s="1"/>
  <c r="AK52" i="55" s="1"/>
  <c r="AL52" i="55" s="1"/>
  <c r="AM52" i="55" s="1"/>
  <c r="AB50" i="55"/>
  <c r="AC50" i="55" s="1"/>
  <c r="AD50" i="55" s="1"/>
  <c r="AE50" i="55" s="1"/>
  <c r="AF50" i="55" s="1"/>
  <c r="AG50" i="55" s="1"/>
  <c r="AH50" i="55" s="1"/>
  <c r="AI50" i="55" s="1"/>
  <c r="AJ50" i="55" s="1"/>
  <c r="AK50" i="55" s="1"/>
  <c r="AL50" i="55" s="1"/>
  <c r="AM50" i="55" s="1"/>
  <c r="AB49" i="55"/>
  <c r="AC49" i="55" s="1"/>
  <c r="AD49" i="55" s="1"/>
  <c r="AE49" i="55" s="1"/>
  <c r="AF49" i="55" s="1"/>
  <c r="AG49" i="55" s="1"/>
  <c r="AH49" i="55" s="1"/>
  <c r="AI49" i="55" s="1"/>
  <c r="AJ49" i="55" s="1"/>
  <c r="AK49" i="55" s="1"/>
  <c r="AL49" i="55" s="1"/>
  <c r="AM49" i="55" s="1"/>
  <c r="AB51" i="55"/>
  <c r="AC51" i="55" s="1"/>
  <c r="AD51" i="55" s="1"/>
  <c r="AE51" i="55" s="1"/>
  <c r="AF51" i="55" s="1"/>
  <c r="AG51" i="55" s="1"/>
  <c r="AH51" i="55" s="1"/>
  <c r="AI51" i="55" s="1"/>
  <c r="AJ51" i="55" s="1"/>
  <c r="AK51" i="55" s="1"/>
  <c r="AL51" i="55" s="1"/>
  <c r="AM51" i="55" s="1"/>
  <c r="AB44" i="55"/>
  <c r="AC44" i="55" s="1"/>
  <c r="AD44" i="55" s="1"/>
  <c r="AE44" i="55" s="1"/>
  <c r="AF44" i="55" s="1"/>
  <c r="AG44" i="55" s="1"/>
  <c r="AH44" i="55" s="1"/>
  <c r="AI44" i="55" s="1"/>
  <c r="AJ44" i="55" s="1"/>
  <c r="AK44" i="55" s="1"/>
  <c r="AL44" i="55" s="1"/>
  <c r="AM44" i="55" s="1"/>
  <c r="AB42" i="55"/>
  <c r="AC42" i="55" s="1"/>
  <c r="AD42" i="55" s="1"/>
  <c r="AE42" i="55" s="1"/>
  <c r="AF42" i="55" s="1"/>
  <c r="AG42" i="55" s="1"/>
  <c r="AH42" i="55" s="1"/>
  <c r="AI42" i="55" s="1"/>
  <c r="AJ42" i="55" s="1"/>
  <c r="AK42" i="55" s="1"/>
  <c r="AL42" i="55" s="1"/>
  <c r="AM42" i="55" s="1"/>
  <c r="AB46" i="55"/>
  <c r="AC46" i="55" s="1"/>
  <c r="AD46" i="55" s="1"/>
  <c r="AE46" i="55" s="1"/>
  <c r="AF46" i="55" s="1"/>
  <c r="AG46" i="55" s="1"/>
  <c r="AH46" i="55" s="1"/>
  <c r="AI46" i="55" s="1"/>
  <c r="AJ46" i="55" s="1"/>
  <c r="AK46" i="55" s="1"/>
  <c r="AL46" i="55" s="1"/>
  <c r="AM46" i="55" s="1"/>
  <c r="AB48" i="55"/>
  <c r="AC48" i="55" s="1"/>
  <c r="AD48" i="55" s="1"/>
  <c r="AE48" i="55" s="1"/>
  <c r="AF48" i="55" s="1"/>
  <c r="AG48" i="55" s="1"/>
  <c r="AH48" i="55" s="1"/>
  <c r="AI48" i="55" s="1"/>
  <c r="AJ48" i="55" s="1"/>
  <c r="AK48" i="55" s="1"/>
  <c r="AL48" i="55" s="1"/>
  <c r="AM48" i="55" s="1"/>
  <c r="AB43" i="55"/>
  <c r="AC43" i="55" s="1"/>
  <c r="AD43" i="55" s="1"/>
  <c r="AE43" i="55" s="1"/>
  <c r="AF43" i="55" s="1"/>
  <c r="AG43" i="55" s="1"/>
  <c r="AH43" i="55" s="1"/>
  <c r="AI43" i="55" s="1"/>
  <c r="AJ43" i="55" s="1"/>
  <c r="AK43" i="55" s="1"/>
  <c r="AL43" i="55" s="1"/>
  <c r="AM43" i="55" s="1"/>
  <c r="AB45" i="55"/>
  <c r="AB41" i="55"/>
  <c r="AC41" i="55" s="1"/>
  <c r="AD41" i="55" s="1"/>
  <c r="AE41" i="55" s="1"/>
  <c r="AF41" i="55" s="1"/>
  <c r="AG41" i="55" s="1"/>
  <c r="AH41" i="55" s="1"/>
  <c r="AI41" i="55" s="1"/>
  <c r="AJ41" i="55" s="1"/>
  <c r="AK41" i="55" s="1"/>
  <c r="AL41" i="55" s="1"/>
  <c r="AM41" i="55" s="1"/>
  <c r="N201" i="55"/>
  <c r="M201" i="55"/>
  <c r="D230" i="55"/>
  <c r="C230" i="55"/>
  <c r="G11" i="55"/>
  <c r="M237" i="55"/>
  <c r="N237" i="55"/>
  <c r="N199" i="55"/>
  <c r="M199" i="55"/>
  <c r="N79" i="55"/>
  <c r="M79" i="55"/>
  <c r="N139" i="55"/>
  <c r="M139" i="55"/>
  <c r="C48" i="55"/>
  <c r="C18" i="55"/>
  <c r="C49" i="55" s="1"/>
  <c r="N240" i="55"/>
  <c r="M240" i="55"/>
  <c r="N165" i="55"/>
  <c r="M165" i="55"/>
  <c r="N73" i="55"/>
  <c r="M73" i="55"/>
  <c r="M141" i="55"/>
  <c r="N141" i="55"/>
  <c r="B17" i="55"/>
  <c r="B47" i="55"/>
  <c r="N76" i="55"/>
  <c r="M76" i="55"/>
  <c r="L48" i="55"/>
  <c r="M48" i="55" s="1"/>
  <c r="N48" i="55" s="1"/>
  <c r="O48" i="55" s="1"/>
  <c r="P48" i="55" s="1"/>
  <c r="Q48" i="55" s="1"/>
  <c r="L49" i="55"/>
  <c r="M49" i="55" s="1"/>
  <c r="N49" i="55" s="1"/>
  <c r="O49" i="55" s="1"/>
  <c r="P49" i="55" s="1"/>
  <c r="Q49" i="55" s="1"/>
  <c r="L41" i="55"/>
  <c r="M41" i="55" s="1"/>
  <c r="N41" i="55" s="1"/>
  <c r="O41" i="55" s="1"/>
  <c r="P41" i="55" s="1"/>
  <c r="Q41" i="55" s="1"/>
  <c r="L44" i="55"/>
  <c r="M44" i="55" s="1"/>
  <c r="L53" i="55"/>
  <c r="M53" i="55" s="1"/>
  <c r="N53" i="55" s="1"/>
  <c r="O53" i="55" s="1"/>
  <c r="P53" i="55" s="1"/>
  <c r="Q53" i="55" s="1"/>
  <c r="L46" i="55"/>
  <c r="M46" i="55" s="1"/>
  <c r="M144" i="55"/>
  <c r="N144" i="55"/>
  <c r="N77" i="55"/>
  <c r="M77" i="55"/>
  <c r="O25" i="53"/>
  <c r="N23" i="53"/>
  <c r="S11" i="55" l="1"/>
  <c r="AE11" i="55"/>
  <c r="AG11" i="55"/>
  <c r="J11" i="55"/>
  <c r="W11" i="55"/>
  <c r="AI11" i="55"/>
  <c r="AJ11" i="55"/>
  <c r="AN11" i="55"/>
  <c r="AP11" i="55" s="1"/>
  <c r="Q11" i="55"/>
  <c r="T11" i="55"/>
  <c r="AF11" i="55"/>
  <c r="U11" i="55"/>
  <c r="K11" i="55"/>
  <c r="AB11" i="55"/>
  <c r="AC11" i="55"/>
  <c r="AD11" i="55"/>
  <c r="V11" i="55"/>
  <c r="AH11" i="55"/>
  <c r="L11" i="55"/>
  <c r="X11" i="55"/>
  <c r="R11" i="55"/>
  <c r="M11" i="55"/>
  <c r="Y11" i="55"/>
  <c r="AK11" i="55"/>
  <c r="N11" i="55"/>
  <c r="Z11" i="55"/>
  <c r="AL11" i="55"/>
  <c r="O11" i="55"/>
  <c r="AA11" i="55"/>
  <c r="AM11" i="55"/>
  <c r="AO11" i="55" s="1"/>
  <c r="P11" i="55"/>
  <c r="K30" i="55"/>
  <c r="L30" i="55" s="1"/>
  <c r="M30" i="55" s="1"/>
  <c r="N30" i="55" s="1"/>
  <c r="O30" i="55" s="1"/>
  <c r="P30" i="55" s="1"/>
  <c r="Q30" i="55" s="1"/>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AO30" i="55" s="1"/>
  <c r="AP30" i="55" s="1"/>
  <c r="K35" i="55"/>
  <c r="L35" i="55" s="1"/>
  <c r="M35" i="55" s="1"/>
  <c r="N35" i="55" s="1"/>
  <c r="O35" i="55" s="1"/>
  <c r="P35" i="55" s="1"/>
  <c r="Q35" i="55" s="1"/>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K29" i="55"/>
  <c r="L29" i="55" s="1"/>
  <c r="M29" i="55" s="1"/>
  <c r="N29" i="55" s="1"/>
  <c r="O29" i="55" s="1"/>
  <c r="P29" i="55" s="1"/>
  <c r="Q29" i="55" s="1"/>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P29" i="55" s="1"/>
  <c r="Q28" i="55"/>
  <c r="R28" i="55" s="1"/>
  <c r="Q37" i="55"/>
  <c r="Q36" i="55"/>
  <c r="R31" i="55"/>
  <c r="B18" i="55"/>
  <c r="O211" i="55" s="1"/>
  <c r="B48" i="55"/>
  <c r="C133" i="55"/>
  <c r="B154" i="55"/>
  <c r="D133" i="55"/>
  <c r="L230" i="55"/>
  <c r="W230" i="55"/>
  <c r="S211" i="55"/>
  <c r="U112" i="55"/>
  <c r="AC112" i="55"/>
  <c r="P112" i="55"/>
  <c r="AE112" i="55"/>
  <c r="AK112" i="55"/>
  <c r="AN70" i="55"/>
  <c r="K26" i="55"/>
  <c r="L26" i="55" s="1"/>
  <c r="M26" i="55" s="1"/>
  <c r="N26" i="55" s="1"/>
  <c r="O26" i="55" s="1"/>
  <c r="P26" i="55" s="1"/>
  <c r="Q26" i="55" s="1"/>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S70" i="55"/>
  <c r="R192" i="55"/>
  <c r="AA70" i="55"/>
  <c r="Y70" i="55"/>
  <c r="AK70" i="55"/>
  <c r="M91" i="55"/>
  <c r="X91" i="55"/>
  <c r="AF91" i="55"/>
  <c r="AC91" i="55"/>
  <c r="Z91" i="55"/>
  <c r="K38" i="55"/>
  <c r="L38" i="55" s="1"/>
  <c r="M38" i="55" s="1"/>
  <c r="N38" i="55" s="1"/>
  <c r="O38" i="55" s="1"/>
  <c r="P38" i="55" s="1"/>
  <c r="Q38" i="55" s="1"/>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T192" i="55"/>
  <c r="AL211" i="55"/>
  <c r="N30" i="53"/>
  <c r="L33" i="44"/>
  <c r="L31" i="44"/>
  <c r="L32" i="44"/>
  <c r="L30" i="44"/>
  <c r="P32" i="55" l="1"/>
  <c r="AO35" i="55"/>
  <c r="AP35" i="55" s="1"/>
  <c r="S31" i="55"/>
  <c r="Q32" i="55"/>
  <c r="AO38" i="55"/>
  <c r="AP38" i="55" s="1"/>
  <c r="AO26" i="55"/>
  <c r="AP26" i="55" s="1"/>
  <c r="R36" i="55"/>
  <c r="S28" i="55"/>
  <c r="R37" i="55"/>
  <c r="AM70" i="55"/>
  <c r="S230" i="55"/>
  <c r="N230" i="55"/>
  <c r="AC230" i="55"/>
  <c r="AE192" i="55"/>
  <c r="AB91" i="55"/>
  <c r="T91" i="55"/>
  <c r="AJ91" i="55"/>
  <c r="V70" i="55"/>
  <c r="AE70" i="55"/>
  <c r="AA112" i="55"/>
  <c r="AJ112" i="55"/>
  <c r="AO112" i="55"/>
  <c r="R211" i="55"/>
  <c r="T230" i="55"/>
  <c r="AG230" i="55"/>
  <c r="AO230" i="55"/>
  <c r="AO91" i="55"/>
  <c r="AP91" i="55"/>
  <c r="AL91" i="55"/>
  <c r="Y91" i="55"/>
  <c r="AG112" i="55"/>
  <c r="AG91" i="55"/>
  <c r="AK91" i="55"/>
  <c r="AC70" i="55"/>
  <c r="U211" i="55"/>
  <c r="AL70" i="55"/>
  <c r="AN112" i="55"/>
  <c r="AF112" i="55"/>
  <c r="J112" i="55"/>
  <c r="M192" i="55"/>
  <c r="AK230" i="55"/>
  <c r="AJ230" i="55"/>
  <c r="AG211" i="55"/>
  <c r="Z192" i="55"/>
  <c r="AA91" i="55"/>
  <c r="J91" i="55"/>
  <c r="P70" i="55"/>
  <c r="M211" i="55"/>
  <c r="AC211" i="55"/>
  <c r="AO70" i="55"/>
  <c r="L112" i="55"/>
  <c r="T112" i="55"/>
  <c r="V112" i="55"/>
  <c r="J230" i="55"/>
  <c r="AL230" i="55"/>
  <c r="O230" i="55"/>
  <c r="X70" i="55"/>
  <c r="L70" i="55"/>
  <c r="U91" i="55"/>
  <c r="O112" i="55"/>
  <c r="C154" i="55"/>
  <c r="B173" i="55"/>
  <c r="D154" i="55"/>
  <c r="AM91" i="55"/>
  <c r="AA211" i="55"/>
  <c r="AK211" i="55"/>
  <c r="AD192" i="55"/>
  <c r="AP70" i="55"/>
  <c r="AD70" i="55"/>
  <c r="N112" i="55"/>
  <c r="AM112" i="55"/>
  <c r="AH112" i="55"/>
  <c r="R230" i="55"/>
  <c r="V230" i="55"/>
  <c r="AA230" i="55"/>
  <c r="AF70" i="55"/>
  <c r="T70" i="55"/>
  <c r="AN91" i="55"/>
  <c r="AL112" i="55"/>
  <c r="V91" i="55"/>
  <c r="Z70" i="55"/>
  <c r="Q91" i="55"/>
  <c r="AH91" i="55"/>
  <c r="X211" i="55"/>
  <c r="AE211" i="55"/>
  <c r="AB192" i="55"/>
  <c r="M70" i="55"/>
  <c r="AG70" i="55"/>
  <c r="R112" i="55"/>
  <c r="Y112" i="55"/>
  <c r="K112" i="55"/>
  <c r="AE230" i="55"/>
  <c r="Y230" i="55"/>
  <c r="AM230" i="55"/>
  <c r="AF211" i="55"/>
  <c r="B49" i="55"/>
  <c r="Z211" i="55"/>
  <c r="AN211" i="55"/>
  <c r="W192" i="55"/>
  <c r="K192" i="55"/>
  <c r="Y192" i="55"/>
  <c r="AM211" i="55"/>
  <c r="V192" i="55"/>
  <c r="AM192" i="55"/>
  <c r="AJ211" i="55"/>
  <c r="Y211" i="55"/>
  <c r="Q192" i="55"/>
  <c r="AJ192" i="55"/>
  <c r="AO192" i="55"/>
  <c r="L192" i="55"/>
  <c r="AI192" i="55"/>
  <c r="U192" i="55"/>
  <c r="P211" i="55"/>
  <c r="K211" i="55"/>
  <c r="J211" i="55"/>
  <c r="AN192" i="55"/>
  <c r="J192" i="55"/>
  <c r="AB211" i="55"/>
  <c r="AK192" i="55"/>
  <c r="K70" i="55"/>
  <c r="O91" i="55"/>
  <c r="R70" i="55"/>
  <c r="K91" i="55"/>
  <c r="V211" i="55"/>
  <c r="AP192" i="55"/>
  <c r="X192" i="55"/>
  <c r="J70" i="55"/>
  <c r="O70" i="55"/>
  <c r="X112" i="55"/>
  <c r="AP112" i="55"/>
  <c r="W112" i="55"/>
  <c r="AF230" i="55"/>
  <c r="U230" i="55"/>
  <c r="P230" i="55"/>
  <c r="AH211" i="55"/>
  <c r="L211" i="55"/>
  <c r="AG192" i="55"/>
  <c r="X230" i="55"/>
  <c r="R91" i="55"/>
  <c r="W91" i="55"/>
  <c r="S192" i="55"/>
  <c r="P192" i="55"/>
  <c r="Q70" i="55"/>
  <c r="AI211" i="55"/>
  <c r="S112" i="55"/>
  <c r="M112" i="55"/>
  <c r="AI112" i="55"/>
  <c r="AI230" i="55"/>
  <c r="K230" i="55"/>
  <c r="AB230" i="55"/>
  <c r="N211" i="55"/>
  <c r="AA192" i="55"/>
  <c r="AF133" i="55"/>
  <c r="T133" i="55"/>
  <c r="AE133" i="55"/>
  <c r="R133" i="55"/>
  <c r="AP133" i="55"/>
  <c r="AC133" i="55"/>
  <c r="P133" i="55"/>
  <c r="AO133" i="55"/>
  <c r="AB133" i="55"/>
  <c r="O133" i="55"/>
  <c r="AN133" i="55"/>
  <c r="AA133" i="55"/>
  <c r="N133" i="55"/>
  <c r="AM133" i="55"/>
  <c r="Z133" i="55"/>
  <c r="M133" i="55"/>
  <c r="AI133" i="55"/>
  <c r="V133" i="55"/>
  <c r="X133" i="55"/>
  <c r="W133" i="55"/>
  <c r="Q133" i="55"/>
  <c r="AL133" i="55"/>
  <c r="L133" i="55"/>
  <c r="AK133" i="55"/>
  <c r="K133" i="55"/>
  <c r="AD133" i="55"/>
  <c r="J133" i="55"/>
  <c r="AJ133" i="55"/>
  <c r="AH133" i="55"/>
  <c r="AG133" i="55"/>
  <c r="U133" i="55"/>
  <c r="Y133" i="55"/>
  <c r="S133" i="55"/>
  <c r="N70" i="55"/>
  <c r="AP211" i="55"/>
  <c r="N91" i="55"/>
  <c r="S91" i="55"/>
  <c r="AI91" i="55"/>
  <c r="AH192" i="55"/>
  <c r="AI70" i="55"/>
  <c r="Q211" i="55"/>
  <c r="W211" i="55"/>
  <c r="Z112" i="55"/>
  <c r="AD112" i="55"/>
  <c r="AJ70" i="55"/>
  <c r="AP230" i="55"/>
  <c r="AH230" i="55"/>
  <c r="AN230" i="55"/>
  <c r="N192" i="55"/>
  <c r="O192" i="55"/>
  <c r="AH70" i="55"/>
  <c r="AD230" i="55"/>
  <c r="AB70" i="55"/>
  <c r="AD91" i="55"/>
  <c r="AO211" i="55"/>
  <c r="P27" i="55"/>
  <c r="P91" i="55"/>
  <c r="AE91" i="55"/>
  <c r="L91" i="55"/>
  <c r="AC192" i="55"/>
  <c r="W70" i="55"/>
  <c r="AD211" i="55"/>
  <c r="AL192" i="55"/>
  <c r="AB112" i="55"/>
  <c r="Q112" i="55"/>
  <c r="U70" i="55"/>
  <c r="M230" i="55"/>
  <c r="Z230" i="55"/>
  <c r="Q230" i="55"/>
  <c r="AF192" i="55"/>
  <c r="T211" i="55"/>
  <c r="P33" i="55" l="1"/>
  <c r="Q33" i="55" s="1"/>
  <c r="S37" i="55"/>
  <c r="T28" i="55"/>
  <c r="Q27" i="55"/>
  <c r="S36" i="55"/>
  <c r="R32" i="55"/>
  <c r="T31" i="55"/>
  <c r="AP154" i="55"/>
  <c r="AD154" i="55"/>
  <c r="R154" i="55"/>
  <c r="AN154" i="55"/>
  <c r="AA154" i="55"/>
  <c r="N154" i="55"/>
  <c r="AJ154" i="55"/>
  <c r="V154" i="55"/>
  <c r="AH154" i="55"/>
  <c r="T154" i="55"/>
  <c r="AF154" i="55"/>
  <c r="Q154" i="55"/>
  <c r="AB154" i="55"/>
  <c r="M154" i="55"/>
  <c r="Z154" i="55"/>
  <c r="Y154" i="55"/>
  <c r="X154" i="55"/>
  <c r="W154" i="55"/>
  <c r="AO154" i="55"/>
  <c r="U154" i="55"/>
  <c r="AM154" i="55"/>
  <c r="S154" i="55"/>
  <c r="AL154" i="55"/>
  <c r="P154" i="55"/>
  <c r="AK154" i="55"/>
  <c r="O154" i="55"/>
  <c r="AE154" i="55"/>
  <c r="J154" i="55"/>
  <c r="AI154" i="55"/>
  <c r="AG154" i="55"/>
  <c r="AC154" i="55"/>
  <c r="L154" i="55"/>
  <c r="K154" i="55"/>
  <c r="K204" i="55"/>
  <c r="L204" i="55" s="1"/>
  <c r="M204" i="55" s="1"/>
  <c r="N204" i="55" s="1"/>
  <c r="O204" i="55" s="1"/>
  <c r="P204" i="55" s="1"/>
  <c r="Q204" i="55" s="1"/>
  <c r="R204" i="55" s="1"/>
  <c r="S204" i="55" s="1"/>
  <c r="T204" i="55" s="1"/>
  <c r="U204" i="55" s="1"/>
  <c r="V204" i="55" s="1"/>
  <c r="W204" i="55" s="1"/>
  <c r="X204" i="55" s="1"/>
  <c r="Y204" i="55" s="1"/>
  <c r="Z204" i="55" s="1"/>
  <c r="AA204" i="55" s="1"/>
  <c r="AB204" i="55" s="1"/>
  <c r="AC204" i="55" s="1"/>
  <c r="AD204" i="55" s="1"/>
  <c r="AE204" i="55" s="1"/>
  <c r="AF204" i="55" s="1"/>
  <c r="AG204" i="55" s="1"/>
  <c r="AH204" i="55" s="1"/>
  <c r="AI204" i="55" s="1"/>
  <c r="AJ204" i="55" s="1"/>
  <c r="AK204" i="55" s="1"/>
  <c r="AL204" i="55" s="1"/>
  <c r="AM204" i="55" s="1"/>
  <c r="AN204" i="55" s="1"/>
  <c r="AO204" i="55" s="1"/>
  <c r="AP204" i="55" s="1"/>
  <c r="K208" i="55"/>
  <c r="L208" i="55" s="1"/>
  <c r="M208" i="55" s="1"/>
  <c r="N208" i="55" s="1"/>
  <c r="O208" i="55" s="1"/>
  <c r="P208" i="55" s="1"/>
  <c r="Q208" i="55" s="1"/>
  <c r="R208" i="55" s="1"/>
  <c r="S208" i="55" s="1"/>
  <c r="T208" i="55" s="1"/>
  <c r="U208" i="55" s="1"/>
  <c r="V208" i="55" s="1"/>
  <c r="W208" i="55" s="1"/>
  <c r="X208" i="55" s="1"/>
  <c r="Y208" i="55" s="1"/>
  <c r="Z208" i="55" s="1"/>
  <c r="AA208" i="55" s="1"/>
  <c r="AB208" i="55" s="1"/>
  <c r="AC208" i="55" s="1"/>
  <c r="AD208" i="55" s="1"/>
  <c r="AE208" i="55" s="1"/>
  <c r="AF208" i="55" s="1"/>
  <c r="AG208" i="55" s="1"/>
  <c r="AH208" i="55" s="1"/>
  <c r="AI208" i="55" s="1"/>
  <c r="AJ208" i="55" s="1"/>
  <c r="AK208" i="55" s="1"/>
  <c r="AL208" i="55" s="1"/>
  <c r="AM208" i="55" s="1"/>
  <c r="AN208" i="55" s="1"/>
  <c r="AO208" i="55" s="1"/>
  <c r="AP208" i="55" s="1"/>
  <c r="K199" i="55"/>
  <c r="L199" i="55" s="1"/>
  <c r="K207" i="55"/>
  <c r="L207" i="55" s="1"/>
  <c r="M207" i="55" s="1"/>
  <c r="N207" i="55" s="1"/>
  <c r="O207" i="55" s="1"/>
  <c r="P207" i="55" s="1"/>
  <c r="Q207" i="55" s="1"/>
  <c r="R207" i="55" s="1"/>
  <c r="S207" i="55" s="1"/>
  <c r="T207" i="55" s="1"/>
  <c r="U207" i="55" s="1"/>
  <c r="V207" i="55" s="1"/>
  <c r="W207" i="55" s="1"/>
  <c r="X207" i="55" s="1"/>
  <c r="Y207" i="55" s="1"/>
  <c r="Z207" i="55" s="1"/>
  <c r="AA207" i="55" s="1"/>
  <c r="AB207" i="55" s="1"/>
  <c r="AC207" i="55" s="1"/>
  <c r="AD207" i="55" s="1"/>
  <c r="AE207" i="55" s="1"/>
  <c r="AF207" i="55" s="1"/>
  <c r="AG207" i="55" s="1"/>
  <c r="AH207" i="55" s="1"/>
  <c r="AI207" i="55" s="1"/>
  <c r="AJ207" i="55" s="1"/>
  <c r="AK207" i="55" s="1"/>
  <c r="AL207" i="55" s="1"/>
  <c r="AM207" i="55" s="1"/>
  <c r="AN207" i="55" s="1"/>
  <c r="AO207" i="55" s="1"/>
  <c r="AP207" i="55" s="1"/>
  <c r="K206" i="55"/>
  <c r="L206" i="55" s="1"/>
  <c r="M206" i="55" s="1"/>
  <c r="N206" i="55" s="1"/>
  <c r="O206" i="55" s="1"/>
  <c r="P206" i="55" s="1"/>
  <c r="Q206" i="55" s="1"/>
  <c r="R206" i="55" s="1"/>
  <c r="S206" i="55" s="1"/>
  <c r="T206" i="55" s="1"/>
  <c r="U206" i="55" s="1"/>
  <c r="V206" i="55" s="1"/>
  <c r="W206" i="55" s="1"/>
  <c r="X206" i="55" s="1"/>
  <c r="Y206" i="55" s="1"/>
  <c r="Z206" i="55" s="1"/>
  <c r="AA206" i="55" s="1"/>
  <c r="AB206" i="55" s="1"/>
  <c r="AC206" i="55" s="1"/>
  <c r="AD206" i="55" s="1"/>
  <c r="AE206" i="55" s="1"/>
  <c r="AF206" i="55" s="1"/>
  <c r="AG206" i="55" s="1"/>
  <c r="AH206" i="55" s="1"/>
  <c r="AI206" i="55" s="1"/>
  <c r="AJ206" i="55" s="1"/>
  <c r="AK206" i="55" s="1"/>
  <c r="AL206" i="55" s="1"/>
  <c r="AM206" i="55" s="1"/>
  <c r="AN206" i="55" s="1"/>
  <c r="AO206" i="55" s="1"/>
  <c r="AP206" i="55" s="1"/>
  <c r="K198" i="55"/>
  <c r="L198" i="55" s="1"/>
  <c r="K195" i="55"/>
  <c r="L195" i="55" s="1"/>
  <c r="K196" i="55"/>
  <c r="L196" i="55" s="1"/>
  <c r="K203" i="55"/>
  <c r="L203" i="55" s="1"/>
  <c r="K200" i="55"/>
  <c r="L200" i="55" s="1"/>
  <c r="K197" i="55"/>
  <c r="L197" i="55" s="1"/>
  <c r="K201" i="55"/>
  <c r="L201" i="55" s="1"/>
  <c r="K205" i="55"/>
  <c r="L205" i="55" s="1"/>
  <c r="M205" i="55" s="1"/>
  <c r="N205" i="55" s="1"/>
  <c r="O205" i="55" s="1"/>
  <c r="P205" i="55" s="1"/>
  <c r="Q205" i="55" s="1"/>
  <c r="R205" i="55" s="1"/>
  <c r="S205" i="55" s="1"/>
  <c r="T205" i="55" s="1"/>
  <c r="U205" i="55" s="1"/>
  <c r="V205" i="55" s="1"/>
  <c r="W205" i="55" s="1"/>
  <c r="X205" i="55" s="1"/>
  <c r="Y205" i="55" s="1"/>
  <c r="Z205" i="55" s="1"/>
  <c r="AA205" i="55" s="1"/>
  <c r="AB205" i="55" s="1"/>
  <c r="AC205" i="55" s="1"/>
  <c r="AD205" i="55" s="1"/>
  <c r="AE205" i="55" s="1"/>
  <c r="AF205" i="55" s="1"/>
  <c r="AG205" i="55" s="1"/>
  <c r="AH205" i="55" s="1"/>
  <c r="AI205" i="55" s="1"/>
  <c r="AJ205" i="55" s="1"/>
  <c r="AK205" i="55" s="1"/>
  <c r="AL205" i="55" s="1"/>
  <c r="AM205" i="55" s="1"/>
  <c r="AN205" i="55" s="1"/>
  <c r="AO205" i="55" s="1"/>
  <c r="AP205" i="55" s="1"/>
  <c r="K202" i="55"/>
  <c r="L202" i="55" s="1"/>
  <c r="M202" i="55" s="1"/>
  <c r="N202" i="55" s="1"/>
  <c r="O202" i="55" s="1"/>
  <c r="P202" i="55" s="1"/>
  <c r="Q202" i="55" s="1"/>
  <c r="R202" i="55" s="1"/>
  <c r="S202" i="55" s="1"/>
  <c r="T202" i="55" s="1"/>
  <c r="U202" i="55" s="1"/>
  <c r="V202" i="55" s="1"/>
  <c r="W202" i="55" s="1"/>
  <c r="X202" i="55" s="1"/>
  <c r="Y202" i="55" s="1"/>
  <c r="Z202" i="55" s="1"/>
  <c r="AA202" i="55" s="1"/>
  <c r="AB202" i="55" s="1"/>
  <c r="AC202" i="55" s="1"/>
  <c r="AD202" i="55" s="1"/>
  <c r="AE202" i="55" s="1"/>
  <c r="AF202" i="55" s="1"/>
  <c r="AG202" i="55" s="1"/>
  <c r="AH202" i="55" s="1"/>
  <c r="AI202" i="55" s="1"/>
  <c r="AJ202" i="55" s="1"/>
  <c r="AK202" i="55" s="1"/>
  <c r="AL202" i="55" s="1"/>
  <c r="AM202" i="55" s="1"/>
  <c r="AN202" i="55" s="1"/>
  <c r="AO202" i="55" s="1"/>
  <c r="AP202" i="55" s="1"/>
  <c r="K194" i="55"/>
  <c r="L194" i="55" s="1"/>
  <c r="K193" i="55"/>
  <c r="L193" i="55" s="1"/>
  <c r="C173" i="55"/>
  <c r="D173" i="55"/>
  <c r="K88" i="55"/>
  <c r="L88" i="55" s="1"/>
  <c r="K80" i="55"/>
  <c r="L80" i="55" s="1"/>
  <c r="M80" i="55" s="1"/>
  <c r="N80" i="55" s="1"/>
  <c r="O80" i="55" s="1"/>
  <c r="P80" i="55" s="1"/>
  <c r="Q80" i="55" s="1"/>
  <c r="R80" i="55" s="1"/>
  <c r="S80" i="55" s="1"/>
  <c r="T80" i="55" s="1"/>
  <c r="U80" i="55" s="1"/>
  <c r="V80" i="55" s="1"/>
  <c r="W80" i="55" s="1"/>
  <c r="X80" i="55" s="1"/>
  <c r="Y80" i="55" s="1"/>
  <c r="Z80" i="55" s="1"/>
  <c r="AA80" i="55" s="1"/>
  <c r="AB80" i="55" s="1"/>
  <c r="AC80" i="55" s="1"/>
  <c r="AD80" i="55" s="1"/>
  <c r="AE80" i="55" s="1"/>
  <c r="AF80" i="55" s="1"/>
  <c r="AG80" i="55" s="1"/>
  <c r="AH80" i="55" s="1"/>
  <c r="AI80" i="55" s="1"/>
  <c r="AJ80" i="55" s="1"/>
  <c r="AK80" i="55" s="1"/>
  <c r="AL80" i="55" s="1"/>
  <c r="AM80" i="55" s="1"/>
  <c r="AN80" i="55" s="1"/>
  <c r="AO80" i="55" s="1"/>
  <c r="AP80" i="55" s="1"/>
  <c r="K82" i="55"/>
  <c r="L82" i="55" s="1"/>
  <c r="M82" i="55" s="1"/>
  <c r="N82" i="55" s="1"/>
  <c r="O82" i="55" s="1"/>
  <c r="P82" i="55" s="1"/>
  <c r="Q82" i="55" s="1"/>
  <c r="R82" i="55" s="1"/>
  <c r="S82" i="55" s="1"/>
  <c r="T82" i="55" s="1"/>
  <c r="U82" i="55" s="1"/>
  <c r="V82" i="55" s="1"/>
  <c r="W82" i="55" s="1"/>
  <c r="X82" i="55" s="1"/>
  <c r="Y82" i="55" s="1"/>
  <c r="Z82" i="55" s="1"/>
  <c r="AA82" i="55" s="1"/>
  <c r="AB82" i="55" s="1"/>
  <c r="AC82" i="55" s="1"/>
  <c r="AD82" i="55" s="1"/>
  <c r="AE82" i="55" s="1"/>
  <c r="AF82" i="55" s="1"/>
  <c r="AG82" i="55" s="1"/>
  <c r="AH82" i="55" s="1"/>
  <c r="AI82" i="55" s="1"/>
  <c r="AJ82" i="55" s="1"/>
  <c r="AK82" i="55" s="1"/>
  <c r="AL82" i="55" s="1"/>
  <c r="AM82" i="55" s="1"/>
  <c r="AN82" i="55" s="1"/>
  <c r="AO82" i="55" s="1"/>
  <c r="AP82" i="55" s="1"/>
  <c r="K86" i="55"/>
  <c r="L86" i="55" s="1"/>
  <c r="M86" i="55" s="1"/>
  <c r="N86" i="55" s="1"/>
  <c r="O86" i="55" s="1"/>
  <c r="P86" i="55" s="1"/>
  <c r="Q86" i="55" s="1"/>
  <c r="R86" i="55" s="1"/>
  <c r="S86" i="55" s="1"/>
  <c r="T86" i="55" s="1"/>
  <c r="U86" i="55" s="1"/>
  <c r="V86" i="55" s="1"/>
  <c r="W86" i="55" s="1"/>
  <c r="X86" i="55" s="1"/>
  <c r="Y86" i="55" s="1"/>
  <c r="Z86" i="55" s="1"/>
  <c r="AA86" i="55" s="1"/>
  <c r="AB86" i="55" s="1"/>
  <c r="AC86" i="55" s="1"/>
  <c r="AD86" i="55" s="1"/>
  <c r="AE86" i="55" s="1"/>
  <c r="AF86" i="55" s="1"/>
  <c r="AG86" i="55" s="1"/>
  <c r="AH86" i="55" s="1"/>
  <c r="AI86" i="55" s="1"/>
  <c r="AJ86" i="55" s="1"/>
  <c r="AK86" i="55" s="1"/>
  <c r="AL86" i="55" s="1"/>
  <c r="AM86" i="55" s="1"/>
  <c r="AN86" i="55" s="1"/>
  <c r="AO86" i="55" s="1"/>
  <c r="AP86" i="55" s="1"/>
  <c r="K77" i="55"/>
  <c r="L77" i="55" s="1"/>
  <c r="K90" i="55"/>
  <c r="L90" i="55" s="1"/>
  <c r="M90" i="55" s="1"/>
  <c r="N90" i="55" s="1"/>
  <c r="O90" i="55" s="1"/>
  <c r="P90" i="55" s="1"/>
  <c r="Q90" i="55" s="1"/>
  <c r="R90" i="55" s="1"/>
  <c r="S90" i="55" s="1"/>
  <c r="T90" i="55" s="1"/>
  <c r="U90" i="55" s="1"/>
  <c r="V90" i="55" s="1"/>
  <c r="W90" i="55" s="1"/>
  <c r="X90" i="55" s="1"/>
  <c r="Y90" i="55" s="1"/>
  <c r="Z90" i="55" s="1"/>
  <c r="AA90" i="55" s="1"/>
  <c r="AB90" i="55" s="1"/>
  <c r="AC90" i="55" s="1"/>
  <c r="AD90" i="55" s="1"/>
  <c r="AE90" i="55" s="1"/>
  <c r="AF90" i="55" s="1"/>
  <c r="AG90" i="55" s="1"/>
  <c r="AH90" i="55" s="1"/>
  <c r="AI90" i="55" s="1"/>
  <c r="AJ90" i="55" s="1"/>
  <c r="AK90" i="55" s="1"/>
  <c r="AL90" i="55" s="1"/>
  <c r="AM90" i="55" s="1"/>
  <c r="AN90" i="55" s="1"/>
  <c r="AO90" i="55" s="1"/>
  <c r="AP90" i="55" s="1"/>
  <c r="K89" i="55"/>
  <c r="L89" i="55" s="1"/>
  <c r="M89" i="55" s="1"/>
  <c r="N89" i="55" s="1"/>
  <c r="O89" i="55" s="1"/>
  <c r="P89" i="55" s="1"/>
  <c r="Q89" i="55" s="1"/>
  <c r="R89" i="55" s="1"/>
  <c r="S89" i="55" s="1"/>
  <c r="T89" i="55" s="1"/>
  <c r="U89" i="55" s="1"/>
  <c r="V89" i="55" s="1"/>
  <c r="W89" i="55" s="1"/>
  <c r="X89" i="55" s="1"/>
  <c r="Y89" i="55" s="1"/>
  <c r="Z89" i="55" s="1"/>
  <c r="AA89" i="55" s="1"/>
  <c r="AB89" i="55" s="1"/>
  <c r="AC89" i="55" s="1"/>
  <c r="AD89" i="55" s="1"/>
  <c r="AE89" i="55" s="1"/>
  <c r="AF89" i="55" s="1"/>
  <c r="AG89" i="55" s="1"/>
  <c r="AH89" i="55" s="1"/>
  <c r="AI89" i="55" s="1"/>
  <c r="AJ89" i="55" s="1"/>
  <c r="AK89" i="55" s="1"/>
  <c r="AL89" i="55" s="1"/>
  <c r="AM89" i="55" s="1"/>
  <c r="AN89" i="55" s="1"/>
  <c r="AO89" i="55" s="1"/>
  <c r="AP89" i="55" s="1"/>
  <c r="K87" i="55"/>
  <c r="L87" i="55" s="1"/>
  <c r="M87" i="55" s="1"/>
  <c r="N87" i="55" s="1"/>
  <c r="O87" i="55" s="1"/>
  <c r="P87" i="55" s="1"/>
  <c r="Q87" i="55" s="1"/>
  <c r="R87" i="55" s="1"/>
  <c r="S87" i="55" s="1"/>
  <c r="T87" i="55" s="1"/>
  <c r="U87" i="55" s="1"/>
  <c r="V87" i="55" s="1"/>
  <c r="W87" i="55" s="1"/>
  <c r="X87" i="55" s="1"/>
  <c r="Y87" i="55" s="1"/>
  <c r="Z87" i="55" s="1"/>
  <c r="AA87" i="55" s="1"/>
  <c r="AB87" i="55" s="1"/>
  <c r="AC87" i="55" s="1"/>
  <c r="AD87" i="55" s="1"/>
  <c r="AE87" i="55" s="1"/>
  <c r="AF87" i="55" s="1"/>
  <c r="AG87" i="55" s="1"/>
  <c r="AH87" i="55" s="1"/>
  <c r="AI87" i="55" s="1"/>
  <c r="AJ87" i="55" s="1"/>
  <c r="AK87" i="55" s="1"/>
  <c r="AL87" i="55" s="1"/>
  <c r="AM87" i="55" s="1"/>
  <c r="AN87" i="55" s="1"/>
  <c r="AO87" i="55" s="1"/>
  <c r="AP87" i="55" s="1"/>
  <c r="K84" i="55"/>
  <c r="L84" i="55" s="1"/>
  <c r="M84" i="55" s="1"/>
  <c r="N84" i="55" s="1"/>
  <c r="O84" i="55" s="1"/>
  <c r="P84" i="55" s="1"/>
  <c r="Q84" i="55" s="1"/>
  <c r="R84" i="55" s="1"/>
  <c r="S84" i="55" s="1"/>
  <c r="T84" i="55" s="1"/>
  <c r="U84" i="55" s="1"/>
  <c r="V84" i="55" s="1"/>
  <c r="W84" i="55" s="1"/>
  <c r="X84" i="55" s="1"/>
  <c r="Y84" i="55" s="1"/>
  <c r="Z84" i="55" s="1"/>
  <c r="AA84" i="55" s="1"/>
  <c r="AB84" i="55" s="1"/>
  <c r="AC84" i="55" s="1"/>
  <c r="AD84" i="55" s="1"/>
  <c r="AE84" i="55" s="1"/>
  <c r="AF84" i="55" s="1"/>
  <c r="AG84" i="55" s="1"/>
  <c r="AH84" i="55" s="1"/>
  <c r="AI84" i="55" s="1"/>
  <c r="AJ84" i="55" s="1"/>
  <c r="AK84" i="55" s="1"/>
  <c r="AL84" i="55" s="1"/>
  <c r="AM84" i="55" s="1"/>
  <c r="AN84" i="55" s="1"/>
  <c r="AO84" i="55" s="1"/>
  <c r="AP84" i="55" s="1"/>
  <c r="K85" i="55"/>
  <c r="L85" i="55" s="1"/>
  <c r="M85" i="55" s="1"/>
  <c r="N85" i="55" s="1"/>
  <c r="O85" i="55" s="1"/>
  <c r="P85" i="55" s="1"/>
  <c r="Q85" i="55" s="1"/>
  <c r="R85" i="55" s="1"/>
  <c r="S85" i="55" s="1"/>
  <c r="T85" i="55" s="1"/>
  <c r="U85" i="55" s="1"/>
  <c r="V85" i="55" s="1"/>
  <c r="W85" i="55" s="1"/>
  <c r="X85" i="55" s="1"/>
  <c r="Y85" i="55" s="1"/>
  <c r="Z85" i="55" s="1"/>
  <c r="AA85" i="55" s="1"/>
  <c r="AB85" i="55" s="1"/>
  <c r="AC85" i="55" s="1"/>
  <c r="AD85" i="55" s="1"/>
  <c r="AE85" i="55" s="1"/>
  <c r="AF85" i="55" s="1"/>
  <c r="AG85" i="55" s="1"/>
  <c r="AH85" i="55" s="1"/>
  <c r="AI85" i="55" s="1"/>
  <c r="AJ85" i="55" s="1"/>
  <c r="AK85" i="55" s="1"/>
  <c r="AL85" i="55" s="1"/>
  <c r="AM85" i="55" s="1"/>
  <c r="AN85" i="55" s="1"/>
  <c r="AO85" i="55" s="1"/>
  <c r="AP85" i="55" s="1"/>
  <c r="K81" i="55"/>
  <c r="L81" i="55" s="1"/>
  <c r="K71" i="55"/>
  <c r="L71" i="55" s="1"/>
  <c r="K79" i="55"/>
  <c r="L79" i="55" s="1"/>
  <c r="K75" i="55"/>
  <c r="L75" i="55" s="1"/>
  <c r="K72" i="55"/>
  <c r="L72" i="55" s="1"/>
  <c r="K83" i="55"/>
  <c r="L83" i="55" s="1"/>
  <c r="M83" i="55" s="1"/>
  <c r="N83" i="55" s="1"/>
  <c r="O83" i="55" s="1"/>
  <c r="P83" i="55" s="1"/>
  <c r="Q83" i="55" s="1"/>
  <c r="R83" i="55" s="1"/>
  <c r="S83" i="55" s="1"/>
  <c r="T83" i="55" s="1"/>
  <c r="U83" i="55" s="1"/>
  <c r="V83" i="55" s="1"/>
  <c r="W83" i="55" s="1"/>
  <c r="X83" i="55" s="1"/>
  <c r="Y83" i="55" s="1"/>
  <c r="Z83" i="55" s="1"/>
  <c r="AA83" i="55" s="1"/>
  <c r="AB83" i="55" s="1"/>
  <c r="AC83" i="55" s="1"/>
  <c r="AD83" i="55" s="1"/>
  <c r="AE83" i="55" s="1"/>
  <c r="AF83" i="55" s="1"/>
  <c r="AG83" i="55" s="1"/>
  <c r="AH83" i="55" s="1"/>
  <c r="AI83" i="55" s="1"/>
  <c r="AJ83" i="55" s="1"/>
  <c r="AK83" i="55" s="1"/>
  <c r="AL83" i="55" s="1"/>
  <c r="AM83" i="55" s="1"/>
  <c r="AN83" i="55" s="1"/>
  <c r="AO83" i="55" s="1"/>
  <c r="AP83" i="55" s="1"/>
  <c r="K78" i="55"/>
  <c r="L78" i="55" s="1"/>
  <c r="K73" i="55"/>
  <c r="L73" i="55" s="1"/>
  <c r="K76" i="55"/>
  <c r="L76" i="55" s="1"/>
  <c r="K74" i="55"/>
  <c r="L74" i="55" s="1"/>
  <c r="K243" i="55"/>
  <c r="L243" i="55" s="1"/>
  <c r="K247" i="55"/>
  <c r="L247" i="55" s="1"/>
  <c r="M247" i="55" s="1"/>
  <c r="N247" i="55" s="1"/>
  <c r="O247" i="55" s="1"/>
  <c r="P247" i="55" s="1"/>
  <c r="Q247" i="55" s="1"/>
  <c r="R247" i="55" s="1"/>
  <c r="S247" i="55" s="1"/>
  <c r="T247" i="55" s="1"/>
  <c r="U247" i="55" s="1"/>
  <c r="V247" i="55" s="1"/>
  <c r="W247" i="55" s="1"/>
  <c r="X247" i="55" s="1"/>
  <c r="Y247" i="55" s="1"/>
  <c r="Z247" i="55" s="1"/>
  <c r="AA247" i="55" s="1"/>
  <c r="AB247" i="55" s="1"/>
  <c r="AC247" i="55" s="1"/>
  <c r="AD247" i="55" s="1"/>
  <c r="AE247" i="55" s="1"/>
  <c r="AF247" i="55" s="1"/>
  <c r="AG247" i="55" s="1"/>
  <c r="AH247" i="55" s="1"/>
  <c r="AI247" i="55" s="1"/>
  <c r="AJ247" i="55" s="1"/>
  <c r="AK247" i="55" s="1"/>
  <c r="AL247" i="55" s="1"/>
  <c r="AM247" i="55" s="1"/>
  <c r="AN247" i="55" s="1"/>
  <c r="AO247" i="55" s="1"/>
  <c r="AP247" i="55" s="1"/>
  <c r="K235" i="55"/>
  <c r="L235" i="55" s="1"/>
  <c r="K248" i="55"/>
  <c r="L248" i="55" s="1"/>
  <c r="M248" i="55" s="1"/>
  <c r="N248" i="55" s="1"/>
  <c r="O248" i="55" s="1"/>
  <c r="P248" i="55" s="1"/>
  <c r="Q248" i="55" s="1"/>
  <c r="R248" i="55" s="1"/>
  <c r="S248" i="55" s="1"/>
  <c r="T248" i="55" s="1"/>
  <c r="U248" i="55" s="1"/>
  <c r="V248" i="55" s="1"/>
  <c r="W248" i="55" s="1"/>
  <c r="X248" i="55" s="1"/>
  <c r="Y248" i="55" s="1"/>
  <c r="Z248" i="55" s="1"/>
  <c r="AA248" i="55" s="1"/>
  <c r="AB248" i="55" s="1"/>
  <c r="AC248" i="55" s="1"/>
  <c r="AD248" i="55" s="1"/>
  <c r="AE248" i="55" s="1"/>
  <c r="AF248" i="55" s="1"/>
  <c r="AG248" i="55" s="1"/>
  <c r="AH248" i="55" s="1"/>
  <c r="AI248" i="55" s="1"/>
  <c r="AJ248" i="55" s="1"/>
  <c r="AK248" i="55" s="1"/>
  <c r="AL248" i="55" s="1"/>
  <c r="AM248" i="55" s="1"/>
  <c r="AN248" i="55" s="1"/>
  <c r="AO248" i="55" s="1"/>
  <c r="AP248" i="55" s="1"/>
  <c r="K236" i="55"/>
  <c r="L236" i="55" s="1"/>
  <c r="K249" i="55"/>
  <c r="L249" i="55" s="1"/>
  <c r="M249" i="55" s="1"/>
  <c r="N249" i="55" s="1"/>
  <c r="O249" i="55" s="1"/>
  <c r="P249" i="55" s="1"/>
  <c r="Q249" i="55" s="1"/>
  <c r="R249" i="55" s="1"/>
  <c r="S249" i="55" s="1"/>
  <c r="T249" i="55" s="1"/>
  <c r="U249" i="55" s="1"/>
  <c r="V249" i="55" s="1"/>
  <c r="W249" i="55" s="1"/>
  <c r="X249" i="55" s="1"/>
  <c r="Y249" i="55" s="1"/>
  <c r="Z249" i="55" s="1"/>
  <c r="AA249" i="55" s="1"/>
  <c r="AB249" i="55" s="1"/>
  <c r="AC249" i="55" s="1"/>
  <c r="AD249" i="55" s="1"/>
  <c r="AE249" i="55" s="1"/>
  <c r="AF249" i="55" s="1"/>
  <c r="AG249" i="55" s="1"/>
  <c r="AH249" i="55" s="1"/>
  <c r="AI249" i="55" s="1"/>
  <c r="AJ249" i="55" s="1"/>
  <c r="AK249" i="55" s="1"/>
  <c r="AL249" i="55" s="1"/>
  <c r="AM249" i="55" s="1"/>
  <c r="AN249" i="55" s="1"/>
  <c r="AO249" i="55" s="1"/>
  <c r="AP249" i="55" s="1"/>
  <c r="K237" i="55"/>
  <c r="L237" i="55" s="1"/>
  <c r="K250" i="55"/>
  <c r="L250" i="55" s="1"/>
  <c r="M250" i="55" s="1"/>
  <c r="N250" i="55" s="1"/>
  <c r="O250" i="55" s="1"/>
  <c r="P250" i="55" s="1"/>
  <c r="Q250" i="55" s="1"/>
  <c r="R250" i="55" s="1"/>
  <c r="S250" i="55" s="1"/>
  <c r="T250" i="55" s="1"/>
  <c r="U250" i="55" s="1"/>
  <c r="V250" i="55" s="1"/>
  <c r="W250" i="55" s="1"/>
  <c r="X250" i="55" s="1"/>
  <c r="Y250" i="55" s="1"/>
  <c r="Z250" i="55" s="1"/>
  <c r="AA250" i="55" s="1"/>
  <c r="AB250" i="55" s="1"/>
  <c r="AC250" i="55" s="1"/>
  <c r="AD250" i="55" s="1"/>
  <c r="AE250" i="55" s="1"/>
  <c r="AF250" i="55" s="1"/>
  <c r="AG250" i="55" s="1"/>
  <c r="AH250" i="55" s="1"/>
  <c r="AI250" i="55" s="1"/>
  <c r="AJ250" i="55" s="1"/>
  <c r="AK250" i="55" s="1"/>
  <c r="AL250" i="55" s="1"/>
  <c r="AM250" i="55" s="1"/>
  <c r="AN250" i="55" s="1"/>
  <c r="AO250" i="55" s="1"/>
  <c r="AP250" i="55" s="1"/>
  <c r="K238" i="55"/>
  <c r="L238" i="55" s="1"/>
  <c r="K251" i="55"/>
  <c r="L251" i="55" s="1"/>
  <c r="M251" i="55" s="1"/>
  <c r="N251" i="55" s="1"/>
  <c r="O251" i="55" s="1"/>
  <c r="P251" i="55" s="1"/>
  <c r="Q251" i="55" s="1"/>
  <c r="R251" i="55" s="1"/>
  <c r="S251" i="55" s="1"/>
  <c r="T251" i="55" s="1"/>
  <c r="U251" i="55" s="1"/>
  <c r="V251" i="55" s="1"/>
  <c r="W251" i="55" s="1"/>
  <c r="X251" i="55" s="1"/>
  <c r="Y251" i="55" s="1"/>
  <c r="Z251" i="55" s="1"/>
  <c r="AA251" i="55" s="1"/>
  <c r="AB251" i="55" s="1"/>
  <c r="AC251" i="55" s="1"/>
  <c r="AD251" i="55" s="1"/>
  <c r="AE251" i="55" s="1"/>
  <c r="AF251" i="55" s="1"/>
  <c r="AG251" i="55" s="1"/>
  <c r="AH251" i="55" s="1"/>
  <c r="AI251" i="55" s="1"/>
  <c r="AJ251" i="55" s="1"/>
  <c r="AK251" i="55" s="1"/>
  <c r="AL251" i="55" s="1"/>
  <c r="AM251" i="55" s="1"/>
  <c r="AN251" i="55" s="1"/>
  <c r="AO251" i="55" s="1"/>
  <c r="AP251" i="55" s="1"/>
  <c r="K253" i="55"/>
  <c r="L253" i="55" s="1"/>
  <c r="K241" i="55"/>
  <c r="L241" i="55" s="1"/>
  <c r="K245" i="55"/>
  <c r="L245" i="55" s="1"/>
  <c r="M245" i="55" s="1"/>
  <c r="N245" i="55" s="1"/>
  <c r="O245" i="55" s="1"/>
  <c r="P245" i="55" s="1"/>
  <c r="Q245" i="55" s="1"/>
  <c r="R245" i="55" s="1"/>
  <c r="S245" i="55" s="1"/>
  <c r="T245" i="55" s="1"/>
  <c r="U245" i="55" s="1"/>
  <c r="V245" i="55" s="1"/>
  <c r="W245" i="55" s="1"/>
  <c r="X245" i="55" s="1"/>
  <c r="Y245" i="55" s="1"/>
  <c r="Z245" i="55" s="1"/>
  <c r="AA245" i="55" s="1"/>
  <c r="AB245" i="55" s="1"/>
  <c r="AC245" i="55" s="1"/>
  <c r="AD245" i="55" s="1"/>
  <c r="AE245" i="55" s="1"/>
  <c r="AF245" i="55" s="1"/>
  <c r="AG245" i="55" s="1"/>
  <c r="AH245" i="55" s="1"/>
  <c r="AI245" i="55" s="1"/>
  <c r="AJ245" i="55" s="1"/>
  <c r="AK245" i="55" s="1"/>
  <c r="AL245" i="55" s="1"/>
  <c r="AM245" i="55" s="1"/>
  <c r="AN245" i="55" s="1"/>
  <c r="AO245" i="55" s="1"/>
  <c r="AP245" i="55" s="1"/>
  <c r="K233" i="55"/>
  <c r="L233" i="55" s="1"/>
  <c r="K232" i="55"/>
  <c r="L232" i="55" s="1"/>
  <c r="M232" i="55" s="1"/>
  <c r="N232" i="55" s="1"/>
  <c r="O232" i="55" s="1"/>
  <c r="P232" i="55" s="1"/>
  <c r="Q232" i="55" s="1"/>
  <c r="R232" i="55" s="1"/>
  <c r="S232" i="55" s="1"/>
  <c r="T232" i="55" s="1"/>
  <c r="U232" i="55" s="1"/>
  <c r="V232" i="55" s="1"/>
  <c r="W232" i="55" s="1"/>
  <c r="X232" i="55" s="1"/>
  <c r="Y232" i="55" s="1"/>
  <c r="Z232" i="55" s="1"/>
  <c r="AA232" i="55" s="1"/>
  <c r="AB232" i="55" s="1"/>
  <c r="AC232" i="55" s="1"/>
  <c r="AD232" i="55" s="1"/>
  <c r="AE232" i="55" s="1"/>
  <c r="AF232" i="55" s="1"/>
  <c r="AG232" i="55" s="1"/>
  <c r="AH232" i="55" s="1"/>
  <c r="AI232" i="55" s="1"/>
  <c r="AJ232" i="55" s="1"/>
  <c r="AK232" i="55" s="1"/>
  <c r="AL232" i="55" s="1"/>
  <c r="AM232" i="55" s="1"/>
  <c r="AN232" i="55" s="1"/>
  <c r="AO232" i="55" s="1"/>
  <c r="AP232" i="55" s="1"/>
  <c r="K240" i="55"/>
  <c r="L240" i="55" s="1"/>
  <c r="K239" i="55"/>
  <c r="L239" i="55" s="1"/>
  <c r="K244" i="55"/>
  <c r="L244" i="55" s="1"/>
  <c r="M244" i="55" s="1"/>
  <c r="N244" i="55" s="1"/>
  <c r="O244" i="55" s="1"/>
  <c r="P244" i="55" s="1"/>
  <c r="Q244" i="55" s="1"/>
  <c r="R244" i="55" s="1"/>
  <c r="S244" i="55" s="1"/>
  <c r="T244" i="55" s="1"/>
  <c r="U244" i="55" s="1"/>
  <c r="V244" i="55" s="1"/>
  <c r="W244" i="55" s="1"/>
  <c r="X244" i="55" s="1"/>
  <c r="Y244" i="55" s="1"/>
  <c r="Z244" i="55" s="1"/>
  <c r="AA244" i="55" s="1"/>
  <c r="AB244" i="55" s="1"/>
  <c r="AC244" i="55" s="1"/>
  <c r="AD244" i="55" s="1"/>
  <c r="AE244" i="55" s="1"/>
  <c r="AF244" i="55" s="1"/>
  <c r="AG244" i="55" s="1"/>
  <c r="AH244" i="55" s="1"/>
  <c r="AI244" i="55" s="1"/>
  <c r="AJ244" i="55" s="1"/>
  <c r="AK244" i="55" s="1"/>
  <c r="AL244" i="55" s="1"/>
  <c r="AM244" i="55" s="1"/>
  <c r="AN244" i="55" s="1"/>
  <c r="AO244" i="55" s="1"/>
  <c r="AP244" i="55" s="1"/>
  <c r="K246" i="55"/>
  <c r="L246" i="55" s="1"/>
  <c r="M246" i="55" s="1"/>
  <c r="N246" i="55" s="1"/>
  <c r="O246" i="55" s="1"/>
  <c r="P246" i="55" s="1"/>
  <c r="Q246" i="55" s="1"/>
  <c r="R246" i="55" s="1"/>
  <c r="S246" i="55" s="1"/>
  <c r="T246" i="55" s="1"/>
  <c r="U246" i="55" s="1"/>
  <c r="V246" i="55" s="1"/>
  <c r="W246" i="55" s="1"/>
  <c r="X246" i="55" s="1"/>
  <c r="Y246" i="55" s="1"/>
  <c r="Z246" i="55" s="1"/>
  <c r="AA246" i="55" s="1"/>
  <c r="AB246" i="55" s="1"/>
  <c r="AC246" i="55" s="1"/>
  <c r="AD246" i="55" s="1"/>
  <c r="AE246" i="55" s="1"/>
  <c r="AF246" i="55" s="1"/>
  <c r="AG246" i="55" s="1"/>
  <c r="AH246" i="55" s="1"/>
  <c r="AI246" i="55" s="1"/>
  <c r="AJ246" i="55" s="1"/>
  <c r="AK246" i="55" s="1"/>
  <c r="AL246" i="55" s="1"/>
  <c r="AM246" i="55" s="1"/>
  <c r="AN246" i="55" s="1"/>
  <c r="AO246" i="55" s="1"/>
  <c r="AP246" i="55" s="1"/>
  <c r="K231" i="55"/>
  <c r="L231" i="55" s="1"/>
  <c r="M231" i="55" s="1"/>
  <c r="N231" i="55" s="1"/>
  <c r="O231" i="55" s="1"/>
  <c r="P231" i="55" s="1"/>
  <c r="Q231" i="55" s="1"/>
  <c r="R231" i="55" s="1"/>
  <c r="S231" i="55" s="1"/>
  <c r="T231" i="55" s="1"/>
  <c r="U231" i="55" s="1"/>
  <c r="V231" i="55" s="1"/>
  <c r="W231" i="55" s="1"/>
  <c r="X231" i="55" s="1"/>
  <c r="Y231" i="55" s="1"/>
  <c r="Z231" i="55" s="1"/>
  <c r="AA231" i="55" s="1"/>
  <c r="AB231" i="55" s="1"/>
  <c r="AC231" i="55" s="1"/>
  <c r="AD231" i="55" s="1"/>
  <c r="AE231" i="55" s="1"/>
  <c r="AF231" i="55" s="1"/>
  <c r="AG231" i="55" s="1"/>
  <c r="AH231" i="55" s="1"/>
  <c r="AI231" i="55" s="1"/>
  <c r="AJ231" i="55" s="1"/>
  <c r="AK231" i="55" s="1"/>
  <c r="AL231" i="55" s="1"/>
  <c r="AM231" i="55" s="1"/>
  <c r="AN231" i="55" s="1"/>
  <c r="AO231" i="55" s="1"/>
  <c r="AP231" i="55" s="1"/>
  <c r="K252" i="55"/>
  <c r="L252" i="55" s="1"/>
  <c r="M252" i="55" s="1"/>
  <c r="N252" i="55" s="1"/>
  <c r="O252" i="55" s="1"/>
  <c r="P252" i="55" s="1"/>
  <c r="Q252" i="55" s="1"/>
  <c r="R252" i="55" s="1"/>
  <c r="S252" i="55" s="1"/>
  <c r="T252" i="55" s="1"/>
  <c r="U252" i="55" s="1"/>
  <c r="V252" i="55" s="1"/>
  <c r="W252" i="55" s="1"/>
  <c r="X252" i="55" s="1"/>
  <c r="Y252" i="55" s="1"/>
  <c r="Z252" i="55" s="1"/>
  <c r="AA252" i="55" s="1"/>
  <c r="AB252" i="55" s="1"/>
  <c r="AC252" i="55" s="1"/>
  <c r="AD252" i="55" s="1"/>
  <c r="AE252" i="55" s="1"/>
  <c r="AF252" i="55" s="1"/>
  <c r="AG252" i="55" s="1"/>
  <c r="AH252" i="55" s="1"/>
  <c r="AI252" i="55" s="1"/>
  <c r="AJ252" i="55" s="1"/>
  <c r="AK252" i="55" s="1"/>
  <c r="AL252" i="55" s="1"/>
  <c r="AM252" i="55" s="1"/>
  <c r="AN252" i="55" s="1"/>
  <c r="AO252" i="55" s="1"/>
  <c r="AP252" i="55" s="1"/>
  <c r="K242" i="55"/>
  <c r="L242" i="55" s="1"/>
  <c r="M242" i="55" s="1"/>
  <c r="N242" i="55" s="1"/>
  <c r="O242" i="55" s="1"/>
  <c r="P242" i="55" s="1"/>
  <c r="Q242" i="55" s="1"/>
  <c r="R242" i="55" s="1"/>
  <c r="S242" i="55" s="1"/>
  <c r="T242" i="55" s="1"/>
  <c r="U242" i="55" s="1"/>
  <c r="V242" i="55" s="1"/>
  <c r="W242" i="55" s="1"/>
  <c r="X242" i="55" s="1"/>
  <c r="Y242" i="55" s="1"/>
  <c r="Z242" i="55" s="1"/>
  <c r="AA242" i="55" s="1"/>
  <c r="AB242" i="55" s="1"/>
  <c r="AC242" i="55" s="1"/>
  <c r="AD242" i="55" s="1"/>
  <c r="AE242" i="55" s="1"/>
  <c r="AF242" i="55" s="1"/>
  <c r="AG242" i="55" s="1"/>
  <c r="AH242" i="55" s="1"/>
  <c r="AI242" i="55" s="1"/>
  <c r="AJ242" i="55" s="1"/>
  <c r="AK242" i="55" s="1"/>
  <c r="AL242" i="55" s="1"/>
  <c r="AM242" i="55" s="1"/>
  <c r="AN242" i="55" s="1"/>
  <c r="AO242" i="55" s="1"/>
  <c r="AP242" i="55" s="1"/>
  <c r="K234" i="55"/>
  <c r="L234" i="55" s="1"/>
  <c r="P195" i="55"/>
  <c r="Q195" i="55" s="1"/>
  <c r="R195" i="55" s="1"/>
  <c r="S195" i="55" s="1"/>
  <c r="T195" i="55" s="1"/>
  <c r="U195" i="55" s="1"/>
  <c r="V195" i="55" s="1"/>
  <c r="W195" i="55" s="1"/>
  <c r="X195" i="55" s="1"/>
  <c r="Y195" i="55" s="1"/>
  <c r="Z195" i="55" s="1"/>
  <c r="AA195" i="55" s="1"/>
  <c r="AB195" i="55" s="1"/>
  <c r="AC195" i="55" s="1"/>
  <c r="AD195" i="55" s="1"/>
  <c r="AE195" i="55" s="1"/>
  <c r="AF195" i="55" s="1"/>
  <c r="AG195" i="55" s="1"/>
  <c r="AH195" i="55" s="1"/>
  <c r="AI195" i="55" s="1"/>
  <c r="AJ195" i="55" s="1"/>
  <c r="AK195" i="55" s="1"/>
  <c r="AL195" i="55" s="1"/>
  <c r="AM195" i="55" s="1"/>
  <c r="AN195" i="55" s="1"/>
  <c r="AO195" i="55" s="1"/>
  <c r="AP195" i="55" s="1"/>
  <c r="P198" i="55"/>
  <c r="Q198" i="55" s="1"/>
  <c r="R198" i="55" s="1"/>
  <c r="S198" i="55" s="1"/>
  <c r="T198" i="55" s="1"/>
  <c r="U198" i="55" s="1"/>
  <c r="V198" i="55" s="1"/>
  <c r="W198" i="55" s="1"/>
  <c r="X198" i="55" s="1"/>
  <c r="Y198" i="55" s="1"/>
  <c r="Z198" i="55" s="1"/>
  <c r="AA198" i="55" s="1"/>
  <c r="AB198" i="55" s="1"/>
  <c r="AC198" i="55" s="1"/>
  <c r="AD198" i="55" s="1"/>
  <c r="AE198" i="55" s="1"/>
  <c r="AF198" i="55" s="1"/>
  <c r="AG198" i="55" s="1"/>
  <c r="AH198" i="55" s="1"/>
  <c r="AI198" i="55" s="1"/>
  <c r="AJ198" i="55" s="1"/>
  <c r="AK198" i="55" s="1"/>
  <c r="AL198" i="55" s="1"/>
  <c r="AM198" i="55" s="1"/>
  <c r="AN198" i="55" s="1"/>
  <c r="AO198" i="55" s="1"/>
  <c r="AP198" i="55" s="1"/>
  <c r="P196" i="55"/>
  <c r="Q196" i="55" s="1"/>
  <c r="R196" i="55" s="1"/>
  <c r="S196" i="55" s="1"/>
  <c r="T196" i="55" s="1"/>
  <c r="U196" i="55" s="1"/>
  <c r="V196" i="55" s="1"/>
  <c r="W196" i="55" s="1"/>
  <c r="X196" i="55" s="1"/>
  <c r="Y196" i="55" s="1"/>
  <c r="Z196" i="55" s="1"/>
  <c r="AA196" i="55" s="1"/>
  <c r="AB196" i="55" s="1"/>
  <c r="AC196" i="55" s="1"/>
  <c r="AD196" i="55" s="1"/>
  <c r="AE196" i="55" s="1"/>
  <c r="AF196" i="55" s="1"/>
  <c r="AG196" i="55" s="1"/>
  <c r="AH196" i="55" s="1"/>
  <c r="AI196" i="55" s="1"/>
  <c r="AJ196" i="55" s="1"/>
  <c r="AK196" i="55" s="1"/>
  <c r="AL196" i="55" s="1"/>
  <c r="AM196" i="55" s="1"/>
  <c r="AN196" i="55" s="1"/>
  <c r="AO196" i="55" s="1"/>
  <c r="AP196" i="55" s="1"/>
  <c r="P194" i="55"/>
  <c r="Q194" i="55" s="1"/>
  <c r="R194" i="55" s="1"/>
  <c r="S194" i="55" s="1"/>
  <c r="T194" i="55" s="1"/>
  <c r="U194" i="55" s="1"/>
  <c r="V194" i="55" s="1"/>
  <c r="W194" i="55" s="1"/>
  <c r="X194" i="55" s="1"/>
  <c r="Y194" i="55" s="1"/>
  <c r="Z194" i="55" s="1"/>
  <c r="AA194" i="55" s="1"/>
  <c r="AB194" i="55" s="1"/>
  <c r="AC194" i="55" s="1"/>
  <c r="AD194" i="55" s="1"/>
  <c r="AE194" i="55" s="1"/>
  <c r="AF194" i="55" s="1"/>
  <c r="AG194" i="55" s="1"/>
  <c r="AH194" i="55" s="1"/>
  <c r="AI194" i="55" s="1"/>
  <c r="AJ194" i="55" s="1"/>
  <c r="AK194" i="55" s="1"/>
  <c r="AL194" i="55" s="1"/>
  <c r="AM194" i="55" s="1"/>
  <c r="AN194" i="55" s="1"/>
  <c r="AO194" i="55" s="1"/>
  <c r="AP194" i="55" s="1"/>
  <c r="P203" i="55"/>
  <c r="Q203" i="55" s="1"/>
  <c r="R203" i="55" s="1"/>
  <c r="S203" i="55" s="1"/>
  <c r="T203" i="55" s="1"/>
  <c r="U203" i="55" s="1"/>
  <c r="V203" i="55" s="1"/>
  <c r="W203" i="55" s="1"/>
  <c r="X203" i="55" s="1"/>
  <c r="Y203" i="55" s="1"/>
  <c r="Z203" i="55" s="1"/>
  <c r="AA203" i="55" s="1"/>
  <c r="AB203" i="55" s="1"/>
  <c r="AC203" i="55" s="1"/>
  <c r="AD203" i="55" s="1"/>
  <c r="AE203" i="55" s="1"/>
  <c r="AF203" i="55" s="1"/>
  <c r="AG203" i="55" s="1"/>
  <c r="AH203" i="55" s="1"/>
  <c r="AI203" i="55" s="1"/>
  <c r="AJ203" i="55" s="1"/>
  <c r="AK203" i="55" s="1"/>
  <c r="AL203" i="55" s="1"/>
  <c r="AM203" i="55" s="1"/>
  <c r="AN203" i="55" s="1"/>
  <c r="AO203" i="55" s="1"/>
  <c r="AP203" i="55" s="1"/>
  <c r="P201" i="55"/>
  <c r="Q201" i="55" s="1"/>
  <c r="R201" i="55" s="1"/>
  <c r="S201" i="55" s="1"/>
  <c r="T201" i="55" s="1"/>
  <c r="U201" i="55" s="1"/>
  <c r="V201" i="55" s="1"/>
  <c r="W201" i="55" s="1"/>
  <c r="X201" i="55" s="1"/>
  <c r="Y201" i="55" s="1"/>
  <c r="Z201" i="55" s="1"/>
  <c r="AA201" i="55" s="1"/>
  <c r="AB201" i="55" s="1"/>
  <c r="AC201" i="55" s="1"/>
  <c r="AD201" i="55" s="1"/>
  <c r="AE201" i="55" s="1"/>
  <c r="AF201" i="55" s="1"/>
  <c r="AG201" i="55" s="1"/>
  <c r="AH201" i="55" s="1"/>
  <c r="AI201" i="55" s="1"/>
  <c r="AJ201" i="55" s="1"/>
  <c r="AK201" i="55" s="1"/>
  <c r="AL201" i="55" s="1"/>
  <c r="AM201" i="55" s="1"/>
  <c r="AN201" i="55" s="1"/>
  <c r="AO201" i="55" s="1"/>
  <c r="AP201" i="55" s="1"/>
  <c r="P199" i="55"/>
  <c r="Q199" i="55" s="1"/>
  <c r="R199" i="55" s="1"/>
  <c r="S199" i="55" s="1"/>
  <c r="T199" i="55" s="1"/>
  <c r="U199" i="55" s="1"/>
  <c r="V199" i="55" s="1"/>
  <c r="W199" i="55" s="1"/>
  <c r="X199" i="55" s="1"/>
  <c r="Y199" i="55" s="1"/>
  <c r="Z199" i="55" s="1"/>
  <c r="AA199" i="55" s="1"/>
  <c r="AB199" i="55" s="1"/>
  <c r="AC199" i="55" s="1"/>
  <c r="AD199" i="55" s="1"/>
  <c r="AE199" i="55" s="1"/>
  <c r="AF199" i="55" s="1"/>
  <c r="AG199" i="55" s="1"/>
  <c r="AH199" i="55" s="1"/>
  <c r="AI199" i="55" s="1"/>
  <c r="AJ199" i="55" s="1"/>
  <c r="AK199" i="55" s="1"/>
  <c r="AL199" i="55" s="1"/>
  <c r="AM199" i="55" s="1"/>
  <c r="AN199" i="55" s="1"/>
  <c r="AO199" i="55" s="1"/>
  <c r="AP199" i="55" s="1"/>
  <c r="P193" i="55"/>
  <c r="Q193" i="55" s="1"/>
  <c r="R193" i="55" s="1"/>
  <c r="S193" i="55" s="1"/>
  <c r="T193" i="55" s="1"/>
  <c r="U193" i="55" s="1"/>
  <c r="V193" i="55" s="1"/>
  <c r="W193" i="55" s="1"/>
  <c r="X193" i="55" s="1"/>
  <c r="Y193" i="55" s="1"/>
  <c r="Z193" i="55" s="1"/>
  <c r="AA193" i="55" s="1"/>
  <c r="AB193" i="55" s="1"/>
  <c r="AC193" i="55" s="1"/>
  <c r="AD193" i="55" s="1"/>
  <c r="AE193" i="55" s="1"/>
  <c r="AF193" i="55" s="1"/>
  <c r="AG193" i="55" s="1"/>
  <c r="AH193" i="55" s="1"/>
  <c r="AI193" i="55" s="1"/>
  <c r="AJ193" i="55" s="1"/>
  <c r="AK193" i="55" s="1"/>
  <c r="AL193" i="55" s="1"/>
  <c r="AM193" i="55" s="1"/>
  <c r="AN193" i="55" s="1"/>
  <c r="AO193" i="55" s="1"/>
  <c r="AP193" i="55" s="1"/>
  <c r="P200" i="55"/>
  <c r="Q200" i="55" s="1"/>
  <c r="R200" i="55" s="1"/>
  <c r="S200" i="55" s="1"/>
  <c r="T200" i="55" s="1"/>
  <c r="U200" i="55" s="1"/>
  <c r="V200" i="55" s="1"/>
  <c r="W200" i="55" s="1"/>
  <c r="X200" i="55" s="1"/>
  <c r="Y200" i="55" s="1"/>
  <c r="Z200" i="55" s="1"/>
  <c r="AA200" i="55" s="1"/>
  <c r="AB200" i="55" s="1"/>
  <c r="AC200" i="55" s="1"/>
  <c r="AD200" i="55" s="1"/>
  <c r="AE200" i="55" s="1"/>
  <c r="AF200" i="55" s="1"/>
  <c r="AG200" i="55" s="1"/>
  <c r="AH200" i="55" s="1"/>
  <c r="AI200" i="55" s="1"/>
  <c r="AJ200" i="55" s="1"/>
  <c r="AK200" i="55" s="1"/>
  <c r="AL200" i="55" s="1"/>
  <c r="AM200" i="55" s="1"/>
  <c r="AN200" i="55" s="1"/>
  <c r="AO200" i="55" s="1"/>
  <c r="AP200" i="55" s="1"/>
  <c r="P197" i="55"/>
  <c r="Q197" i="55" s="1"/>
  <c r="R197" i="55" s="1"/>
  <c r="S197" i="55" s="1"/>
  <c r="T197" i="55" s="1"/>
  <c r="U197" i="55" s="1"/>
  <c r="V197" i="55" s="1"/>
  <c r="W197" i="55" s="1"/>
  <c r="X197" i="55" s="1"/>
  <c r="Y197" i="55" s="1"/>
  <c r="Z197" i="55" s="1"/>
  <c r="AA197" i="55" s="1"/>
  <c r="AB197" i="55" s="1"/>
  <c r="AC197" i="55" s="1"/>
  <c r="AD197" i="55" s="1"/>
  <c r="AE197" i="55" s="1"/>
  <c r="AF197" i="55" s="1"/>
  <c r="AG197" i="55" s="1"/>
  <c r="AH197" i="55" s="1"/>
  <c r="AI197" i="55" s="1"/>
  <c r="AJ197" i="55" s="1"/>
  <c r="AK197" i="55" s="1"/>
  <c r="AL197" i="55" s="1"/>
  <c r="AM197" i="55" s="1"/>
  <c r="AN197" i="55" s="1"/>
  <c r="AO197" i="55" s="1"/>
  <c r="AP197" i="55" s="1"/>
  <c r="P81" i="55"/>
  <c r="Q81" i="55" s="1"/>
  <c r="R81" i="55" s="1"/>
  <c r="S81" i="55" s="1"/>
  <c r="T81" i="55" s="1"/>
  <c r="U81" i="55" s="1"/>
  <c r="V81" i="55" s="1"/>
  <c r="W81" i="55" s="1"/>
  <c r="X81" i="55" s="1"/>
  <c r="Y81" i="55" s="1"/>
  <c r="Z81" i="55" s="1"/>
  <c r="AA81" i="55" s="1"/>
  <c r="AB81" i="55" s="1"/>
  <c r="AC81" i="55" s="1"/>
  <c r="AD81" i="55" s="1"/>
  <c r="AE81" i="55" s="1"/>
  <c r="AF81" i="55" s="1"/>
  <c r="AG81" i="55" s="1"/>
  <c r="AH81" i="55" s="1"/>
  <c r="AI81" i="55" s="1"/>
  <c r="AJ81" i="55" s="1"/>
  <c r="AK81" i="55" s="1"/>
  <c r="AL81" i="55" s="1"/>
  <c r="AM81" i="55" s="1"/>
  <c r="AN81" i="55" s="1"/>
  <c r="AO81" i="55" s="1"/>
  <c r="AP81" i="55" s="1"/>
  <c r="P73" i="55"/>
  <c r="Q73" i="55" s="1"/>
  <c r="R73" i="55" s="1"/>
  <c r="S73" i="55" s="1"/>
  <c r="T73" i="55" s="1"/>
  <c r="U73" i="55" s="1"/>
  <c r="V73" i="55" s="1"/>
  <c r="W73" i="55" s="1"/>
  <c r="X73" i="55" s="1"/>
  <c r="Y73" i="55" s="1"/>
  <c r="Z73" i="55" s="1"/>
  <c r="AA73" i="55" s="1"/>
  <c r="AB73" i="55" s="1"/>
  <c r="AC73" i="55" s="1"/>
  <c r="AD73" i="55" s="1"/>
  <c r="AE73" i="55" s="1"/>
  <c r="AF73" i="55" s="1"/>
  <c r="AG73" i="55" s="1"/>
  <c r="AH73" i="55" s="1"/>
  <c r="AI73" i="55" s="1"/>
  <c r="AJ73" i="55" s="1"/>
  <c r="AK73" i="55" s="1"/>
  <c r="AL73" i="55" s="1"/>
  <c r="AM73" i="55" s="1"/>
  <c r="AN73" i="55" s="1"/>
  <c r="AO73" i="55" s="1"/>
  <c r="AP73" i="55" s="1"/>
  <c r="P75" i="55"/>
  <c r="Q75" i="55" s="1"/>
  <c r="R75" i="55" s="1"/>
  <c r="S75" i="55" s="1"/>
  <c r="T75" i="55" s="1"/>
  <c r="U75" i="55" s="1"/>
  <c r="V75" i="55" s="1"/>
  <c r="W75" i="55" s="1"/>
  <c r="X75" i="55" s="1"/>
  <c r="Y75" i="55" s="1"/>
  <c r="Z75" i="55" s="1"/>
  <c r="AA75" i="55" s="1"/>
  <c r="AB75" i="55" s="1"/>
  <c r="AC75" i="55" s="1"/>
  <c r="AD75" i="55" s="1"/>
  <c r="AE75" i="55" s="1"/>
  <c r="AF75" i="55" s="1"/>
  <c r="AG75" i="55" s="1"/>
  <c r="AH75" i="55" s="1"/>
  <c r="AI75" i="55" s="1"/>
  <c r="AJ75" i="55" s="1"/>
  <c r="AK75" i="55" s="1"/>
  <c r="AL75" i="55" s="1"/>
  <c r="AM75" i="55" s="1"/>
  <c r="AN75" i="55" s="1"/>
  <c r="AO75" i="55" s="1"/>
  <c r="AP75" i="55" s="1"/>
  <c r="P74" i="55"/>
  <c r="Q74" i="55" s="1"/>
  <c r="R74" i="55" s="1"/>
  <c r="S74" i="55" s="1"/>
  <c r="T74" i="55" s="1"/>
  <c r="U74" i="55" s="1"/>
  <c r="V74" i="55" s="1"/>
  <c r="W74" i="55" s="1"/>
  <c r="X74" i="55" s="1"/>
  <c r="Y74" i="55" s="1"/>
  <c r="Z74" i="55" s="1"/>
  <c r="AA74" i="55" s="1"/>
  <c r="AB74" i="55" s="1"/>
  <c r="AC74" i="55" s="1"/>
  <c r="AD74" i="55" s="1"/>
  <c r="AE74" i="55" s="1"/>
  <c r="AF74" i="55" s="1"/>
  <c r="AG74" i="55" s="1"/>
  <c r="AH74" i="55" s="1"/>
  <c r="AI74" i="55" s="1"/>
  <c r="AJ74" i="55" s="1"/>
  <c r="AK74" i="55" s="1"/>
  <c r="AL74" i="55" s="1"/>
  <c r="AM74" i="55" s="1"/>
  <c r="AN74" i="55" s="1"/>
  <c r="AO74" i="55" s="1"/>
  <c r="AP74" i="55" s="1"/>
  <c r="P79" i="55"/>
  <c r="Q79" i="55" s="1"/>
  <c r="R79" i="55" s="1"/>
  <c r="S79" i="55" s="1"/>
  <c r="T79" i="55" s="1"/>
  <c r="U79" i="55" s="1"/>
  <c r="V79" i="55" s="1"/>
  <c r="W79" i="55" s="1"/>
  <c r="X79" i="55" s="1"/>
  <c r="Y79" i="55" s="1"/>
  <c r="Z79" i="55" s="1"/>
  <c r="AA79" i="55" s="1"/>
  <c r="AB79" i="55" s="1"/>
  <c r="AC79" i="55" s="1"/>
  <c r="AD79" i="55" s="1"/>
  <c r="AE79" i="55" s="1"/>
  <c r="AF79" i="55" s="1"/>
  <c r="AG79" i="55" s="1"/>
  <c r="AH79" i="55" s="1"/>
  <c r="AI79" i="55" s="1"/>
  <c r="AJ79" i="55" s="1"/>
  <c r="AK79" i="55" s="1"/>
  <c r="AL79" i="55" s="1"/>
  <c r="AM79" i="55" s="1"/>
  <c r="AN79" i="55" s="1"/>
  <c r="AO79" i="55" s="1"/>
  <c r="AP79" i="55" s="1"/>
  <c r="P78" i="55"/>
  <c r="Q78" i="55" s="1"/>
  <c r="R78" i="55" s="1"/>
  <c r="S78" i="55" s="1"/>
  <c r="T78" i="55" s="1"/>
  <c r="U78" i="55" s="1"/>
  <c r="V78" i="55" s="1"/>
  <c r="W78" i="55" s="1"/>
  <c r="X78" i="55" s="1"/>
  <c r="Y78" i="55" s="1"/>
  <c r="Z78" i="55" s="1"/>
  <c r="AA78" i="55" s="1"/>
  <c r="AB78" i="55" s="1"/>
  <c r="AC78" i="55" s="1"/>
  <c r="AD78" i="55" s="1"/>
  <c r="AE78" i="55" s="1"/>
  <c r="AF78" i="55" s="1"/>
  <c r="AG78" i="55" s="1"/>
  <c r="AH78" i="55" s="1"/>
  <c r="AI78" i="55" s="1"/>
  <c r="AJ78" i="55" s="1"/>
  <c r="AK78" i="55" s="1"/>
  <c r="AL78" i="55" s="1"/>
  <c r="AM78" i="55" s="1"/>
  <c r="AN78" i="55" s="1"/>
  <c r="AO78" i="55" s="1"/>
  <c r="AP78" i="55" s="1"/>
  <c r="P77" i="55"/>
  <c r="Q77" i="55" s="1"/>
  <c r="R77" i="55" s="1"/>
  <c r="S77" i="55" s="1"/>
  <c r="T77" i="55" s="1"/>
  <c r="U77" i="55" s="1"/>
  <c r="V77" i="55" s="1"/>
  <c r="W77" i="55" s="1"/>
  <c r="X77" i="55" s="1"/>
  <c r="Y77" i="55" s="1"/>
  <c r="Z77" i="55" s="1"/>
  <c r="AA77" i="55" s="1"/>
  <c r="AB77" i="55" s="1"/>
  <c r="AC77" i="55" s="1"/>
  <c r="AD77" i="55" s="1"/>
  <c r="AE77" i="55" s="1"/>
  <c r="AF77" i="55" s="1"/>
  <c r="AG77" i="55" s="1"/>
  <c r="AH77" i="55" s="1"/>
  <c r="AI77" i="55" s="1"/>
  <c r="AJ77" i="55" s="1"/>
  <c r="AK77" i="55" s="1"/>
  <c r="AL77" i="55" s="1"/>
  <c r="AM77" i="55" s="1"/>
  <c r="AN77" i="55" s="1"/>
  <c r="AO77" i="55" s="1"/>
  <c r="AP77" i="55" s="1"/>
  <c r="P72" i="55"/>
  <c r="Q72" i="55" s="1"/>
  <c r="R72" i="55" s="1"/>
  <c r="S72" i="55" s="1"/>
  <c r="T72" i="55" s="1"/>
  <c r="U72" i="55" s="1"/>
  <c r="V72" i="55" s="1"/>
  <c r="W72" i="55" s="1"/>
  <c r="X72" i="55" s="1"/>
  <c r="Y72" i="55" s="1"/>
  <c r="Z72" i="55" s="1"/>
  <c r="AA72" i="55" s="1"/>
  <c r="AB72" i="55" s="1"/>
  <c r="AC72" i="55" s="1"/>
  <c r="AD72" i="55" s="1"/>
  <c r="AE72" i="55" s="1"/>
  <c r="AF72" i="55" s="1"/>
  <c r="AG72" i="55" s="1"/>
  <c r="AH72" i="55" s="1"/>
  <c r="AI72" i="55" s="1"/>
  <c r="AJ72" i="55" s="1"/>
  <c r="AK72" i="55" s="1"/>
  <c r="AL72" i="55" s="1"/>
  <c r="AM72" i="55" s="1"/>
  <c r="AN72" i="55" s="1"/>
  <c r="AO72" i="55" s="1"/>
  <c r="AP72" i="55" s="1"/>
  <c r="P76" i="55"/>
  <c r="Q76" i="55" s="1"/>
  <c r="R76" i="55" s="1"/>
  <c r="S76" i="55" s="1"/>
  <c r="T76" i="55" s="1"/>
  <c r="U76" i="55" s="1"/>
  <c r="V76" i="55" s="1"/>
  <c r="W76" i="55" s="1"/>
  <c r="X76" i="55" s="1"/>
  <c r="Y76" i="55" s="1"/>
  <c r="Z76" i="55" s="1"/>
  <c r="AA76" i="55" s="1"/>
  <c r="AB76" i="55" s="1"/>
  <c r="AC76" i="55" s="1"/>
  <c r="AD76" i="55" s="1"/>
  <c r="AE76" i="55" s="1"/>
  <c r="AF76" i="55" s="1"/>
  <c r="AG76" i="55" s="1"/>
  <c r="AH76" i="55" s="1"/>
  <c r="AI76" i="55" s="1"/>
  <c r="AJ76" i="55" s="1"/>
  <c r="AK76" i="55" s="1"/>
  <c r="AL76" i="55" s="1"/>
  <c r="AM76" i="55" s="1"/>
  <c r="AN76" i="55" s="1"/>
  <c r="AO76" i="55" s="1"/>
  <c r="AP76" i="55" s="1"/>
  <c r="P88" i="55"/>
  <c r="Q88" i="55" s="1"/>
  <c r="R88" i="55" s="1"/>
  <c r="S88" i="55" s="1"/>
  <c r="T88" i="55" s="1"/>
  <c r="U88" i="55" s="1"/>
  <c r="V88" i="55" s="1"/>
  <c r="W88" i="55" s="1"/>
  <c r="X88" i="55" s="1"/>
  <c r="Y88" i="55" s="1"/>
  <c r="Z88" i="55" s="1"/>
  <c r="AA88" i="55" s="1"/>
  <c r="AB88" i="55" s="1"/>
  <c r="AC88" i="55" s="1"/>
  <c r="AD88" i="55" s="1"/>
  <c r="AE88" i="55" s="1"/>
  <c r="AF88" i="55" s="1"/>
  <c r="AG88" i="55" s="1"/>
  <c r="AH88" i="55" s="1"/>
  <c r="AI88" i="55" s="1"/>
  <c r="AJ88" i="55" s="1"/>
  <c r="AK88" i="55" s="1"/>
  <c r="AL88" i="55" s="1"/>
  <c r="AM88" i="55" s="1"/>
  <c r="AN88" i="55" s="1"/>
  <c r="AO88" i="55" s="1"/>
  <c r="AP88" i="55" s="1"/>
  <c r="P71" i="55"/>
  <c r="Q71" i="55" s="1"/>
  <c r="R71" i="55" s="1"/>
  <c r="S71" i="55" s="1"/>
  <c r="T71" i="55" s="1"/>
  <c r="U71" i="55" s="1"/>
  <c r="V71" i="55" s="1"/>
  <c r="W71" i="55" s="1"/>
  <c r="X71" i="55" s="1"/>
  <c r="Y71" i="55" s="1"/>
  <c r="Z71" i="55" s="1"/>
  <c r="AA71" i="55" s="1"/>
  <c r="AB71" i="55" s="1"/>
  <c r="AC71" i="55" s="1"/>
  <c r="AD71" i="55" s="1"/>
  <c r="AE71" i="55" s="1"/>
  <c r="AF71" i="55" s="1"/>
  <c r="AG71" i="55" s="1"/>
  <c r="AH71" i="55" s="1"/>
  <c r="AI71" i="55" s="1"/>
  <c r="AJ71" i="55" s="1"/>
  <c r="AK71" i="55" s="1"/>
  <c r="AL71" i="55" s="1"/>
  <c r="AM71" i="55" s="1"/>
  <c r="AN71" i="55" s="1"/>
  <c r="AO71" i="55" s="1"/>
  <c r="AP71" i="55" s="1"/>
  <c r="P144" i="55"/>
  <c r="Q144" i="55" s="1"/>
  <c r="R144" i="55" s="1"/>
  <c r="S144" i="55" s="1"/>
  <c r="T144" i="55" s="1"/>
  <c r="U144" i="55" s="1"/>
  <c r="V144" i="55" s="1"/>
  <c r="W144" i="55" s="1"/>
  <c r="X144" i="55" s="1"/>
  <c r="Y144" i="55" s="1"/>
  <c r="Z144" i="55" s="1"/>
  <c r="AA144" i="55" s="1"/>
  <c r="AB144" i="55" s="1"/>
  <c r="AC144" i="55" s="1"/>
  <c r="AD144" i="55" s="1"/>
  <c r="AE144" i="55" s="1"/>
  <c r="AF144" i="55" s="1"/>
  <c r="AG144" i="55" s="1"/>
  <c r="AH144" i="55" s="1"/>
  <c r="AI144" i="55" s="1"/>
  <c r="AJ144" i="55" s="1"/>
  <c r="AK144" i="55" s="1"/>
  <c r="AL144" i="55" s="1"/>
  <c r="AM144" i="55" s="1"/>
  <c r="AN144" i="55" s="1"/>
  <c r="AO144" i="55" s="1"/>
  <c r="AP144" i="55" s="1"/>
  <c r="P151" i="55"/>
  <c r="Q151" i="55" s="1"/>
  <c r="R151" i="55" s="1"/>
  <c r="S151" i="55" s="1"/>
  <c r="T151" i="55" s="1"/>
  <c r="U151" i="55" s="1"/>
  <c r="V151" i="55" s="1"/>
  <c r="W151" i="55" s="1"/>
  <c r="X151" i="55" s="1"/>
  <c r="Y151" i="55" s="1"/>
  <c r="Z151" i="55" s="1"/>
  <c r="AA151" i="55" s="1"/>
  <c r="AB151" i="55" s="1"/>
  <c r="AC151" i="55" s="1"/>
  <c r="AD151" i="55" s="1"/>
  <c r="AE151" i="55" s="1"/>
  <c r="AF151" i="55" s="1"/>
  <c r="AG151" i="55" s="1"/>
  <c r="AH151" i="55" s="1"/>
  <c r="AI151" i="55" s="1"/>
  <c r="AJ151" i="55" s="1"/>
  <c r="AK151" i="55" s="1"/>
  <c r="AL151" i="55" s="1"/>
  <c r="AM151" i="55" s="1"/>
  <c r="AN151" i="55" s="1"/>
  <c r="AO151" i="55" s="1"/>
  <c r="AP151" i="55" s="1"/>
  <c r="P139" i="55"/>
  <c r="Q139" i="55" s="1"/>
  <c r="R139" i="55" s="1"/>
  <c r="S139" i="55" s="1"/>
  <c r="T139" i="55" s="1"/>
  <c r="U139" i="55" s="1"/>
  <c r="V139" i="55" s="1"/>
  <c r="W139" i="55" s="1"/>
  <c r="X139" i="55" s="1"/>
  <c r="Y139" i="55" s="1"/>
  <c r="Z139" i="55" s="1"/>
  <c r="AA139" i="55" s="1"/>
  <c r="AB139" i="55" s="1"/>
  <c r="AC139" i="55" s="1"/>
  <c r="AD139" i="55" s="1"/>
  <c r="AE139" i="55" s="1"/>
  <c r="AF139" i="55" s="1"/>
  <c r="AG139" i="55" s="1"/>
  <c r="AH139" i="55" s="1"/>
  <c r="AI139" i="55" s="1"/>
  <c r="AJ139" i="55" s="1"/>
  <c r="AK139" i="55" s="1"/>
  <c r="AL139" i="55" s="1"/>
  <c r="AM139" i="55" s="1"/>
  <c r="AN139" i="55" s="1"/>
  <c r="AO139" i="55" s="1"/>
  <c r="AP139" i="55" s="1"/>
  <c r="P142" i="55"/>
  <c r="Q142" i="55" s="1"/>
  <c r="R142" i="55" s="1"/>
  <c r="S142" i="55" s="1"/>
  <c r="T142" i="55" s="1"/>
  <c r="U142" i="55" s="1"/>
  <c r="V142" i="55" s="1"/>
  <c r="W142" i="55" s="1"/>
  <c r="X142" i="55" s="1"/>
  <c r="Y142" i="55" s="1"/>
  <c r="Z142" i="55" s="1"/>
  <c r="AA142" i="55" s="1"/>
  <c r="AB142" i="55" s="1"/>
  <c r="AC142" i="55" s="1"/>
  <c r="AD142" i="55" s="1"/>
  <c r="AE142" i="55" s="1"/>
  <c r="AF142" i="55" s="1"/>
  <c r="AG142" i="55" s="1"/>
  <c r="AH142" i="55" s="1"/>
  <c r="AI142" i="55" s="1"/>
  <c r="AJ142" i="55" s="1"/>
  <c r="AK142" i="55" s="1"/>
  <c r="AL142" i="55" s="1"/>
  <c r="AM142" i="55" s="1"/>
  <c r="AN142" i="55" s="1"/>
  <c r="AO142" i="55" s="1"/>
  <c r="AP142" i="55" s="1"/>
  <c r="P137" i="55"/>
  <c r="Q137" i="55" s="1"/>
  <c r="R137" i="55" s="1"/>
  <c r="S137" i="55" s="1"/>
  <c r="T137" i="55" s="1"/>
  <c r="U137" i="55" s="1"/>
  <c r="V137" i="55" s="1"/>
  <c r="W137" i="55" s="1"/>
  <c r="X137" i="55" s="1"/>
  <c r="Y137" i="55" s="1"/>
  <c r="Z137" i="55" s="1"/>
  <c r="AA137" i="55" s="1"/>
  <c r="AB137" i="55" s="1"/>
  <c r="AC137" i="55" s="1"/>
  <c r="AD137" i="55" s="1"/>
  <c r="AE137" i="55" s="1"/>
  <c r="AF137" i="55" s="1"/>
  <c r="AG137" i="55" s="1"/>
  <c r="AH137" i="55" s="1"/>
  <c r="AI137" i="55" s="1"/>
  <c r="AJ137" i="55" s="1"/>
  <c r="AK137" i="55" s="1"/>
  <c r="AL137" i="55" s="1"/>
  <c r="AM137" i="55" s="1"/>
  <c r="AN137" i="55" s="1"/>
  <c r="AO137" i="55" s="1"/>
  <c r="AP137" i="55" s="1"/>
  <c r="P134" i="55"/>
  <c r="Q134" i="55" s="1"/>
  <c r="R134" i="55" s="1"/>
  <c r="S134" i="55" s="1"/>
  <c r="T134" i="55" s="1"/>
  <c r="U134" i="55" s="1"/>
  <c r="V134" i="55" s="1"/>
  <c r="W134" i="55" s="1"/>
  <c r="X134" i="55" s="1"/>
  <c r="Y134" i="55" s="1"/>
  <c r="Z134" i="55" s="1"/>
  <c r="AA134" i="55" s="1"/>
  <c r="AB134" i="55" s="1"/>
  <c r="AC134" i="55" s="1"/>
  <c r="AD134" i="55" s="1"/>
  <c r="AE134" i="55" s="1"/>
  <c r="AF134" i="55" s="1"/>
  <c r="AG134" i="55" s="1"/>
  <c r="AH134" i="55" s="1"/>
  <c r="AI134" i="55" s="1"/>
  <c r="AJ134" i="55" s="1"/>
  <c r="AK134" i="55" s="1"/>
  <c r="AL134" i="55" s="1"/>
  <c r="AM134" i="55" s="1"/>
  <c r="AN134" i="55" s="1"/>
  <c r="AO134" i="55" s="1"/>
  <c r="AP134" i="55" s="1"/>
  <c r="P138" i="55"/>
  <c r="Q138" i="55" s="1"/>
  <c r="R138" i="55" s="1"/>
  <c r="S138" i="55" s="1"/>
  <c r="T138" i="55" s="1"/>
  <c r="U138" i="55" s="1"/>
  <c r="V138" i="55" s="1"/>
  <c r="W138" i="55" s="1"/>
  <c r="X138" i="55" s="1"/>
  <c r="Y138" i="55" s="1"/>
  <c r="Z138" i="55" s="1"/>
  <c r="AA138" i="55" s="1"/>
  <c r="AB138" i="55" s="1"/>
  <c r="AC138" i="55" s="1"/>
  <c r="AD138" i="55" s="1"/>
  <c r="AE138" i="55" s="1"/>
  <c r="AF138" i="55" s="1"/>
  <c r="AG138" i="55" s="1"/>
  <c r="AH138" i="55" s="1"/>
  <c r="AI138" i="55" s="1"/>
  <c r="AJ138" i="55" s="1"/>
  <c r="AK138" i="55" s="1"/>
  <c r="AL138" i="55" s="1"/>
  <c r="AM138" i="55" s="1"/>
  <c r="AN138" i="55" s="1"/>
  <c r="AO138" i="55" s="1"/>
  <c r="AP138" i="55" s="1"/>
  <c r="P135" i="55"/>
  <c r="Q135" i="55" s="1"/>
  <c r="R135" i="55" s="1"/>
  <c r="S135" i="55" s="1"/>
  <c r="T135" i="55" s="1"/>
  <c r="U135" i="55" s="1"/>
  <c r="V135" i="55" s="1"/>
  <c r="W135" i="55" s="1"/>
  <c r="X135" i="55" s="1"/>
  <c r="Y135" i="55" s="1"/>
  <c r="Z135" i="55" s="1"/>
  <c r="AA135" i="55" s="1"/>
  <c r="AB135" i="55" s="1"/>
  <c r="AC135" i="55" s="1"/>
  <c r="AD135" i="55" s="1"/>
  <c r="AE135" i="55" s="1"/>
  <c r="AF135" i="55" s="1"/>
  <c r="AG135" i="55" s="1"/>
  <c r="AH135" i="55" s="1"/>
  <c r="AI135" i="55" s="1"/>
  <c r="AJ135" i="55" s="1"/>
  <c r="AK135" i="55" s="1"/>
  <c r="AL135" i="55" s="1"/>
  <c r="AM135" i="55" s="1"/>
  <c r="AN135" i="55" s="1"/>
  <c r="AO135" i="55" s="1"/>
  <c r="AP135" i="55" s="1"/>
  <c r="P140" i="55"/>
  <c r="Q140" i="55" s="1"/>
  <c r="R140" i="55" s="1"/>
  <c r="S140" i="55" s="1"/>
  <c r="T140" i="55" s="1"/>
  <c r="U140" i="55" s="1"/>
  <c r="V140" i="55" s="1"/>
  <c r="W140" i="55" s="1"/>
  <c r="X140" i="55" s="1"/>
  <c r="Y140" i="55" s="1"/>
  <c r="Z140" i="55" s="1"/>
  <c r="AA140" i="55" s="1"/>
  <c r="AB140" i="55" s="1"/>
  <c r="AC140" i="55" s="1"/>
  <c r="AD140" i="55" s="1"/>
  <c r="AE140" i="55" s="1"/>
  <c r="AF140" i="55" s="1"/>
  <c r="AG140" i="55" s="1"/>
  <c r="AH140" i="55" s="1"/>
  <c r="AI140" i="55" s="1"/>
  <c r="AJ140" i="55" s="1"/>
  <c r="AK140" i="55" s="1"/>
  <c r="AL140" i="55" s="1"/>
  <c r="AM140" i="55" s="1"/>
  <c r="AN140" i="55" s="1"/>
  <c r="AO140" i="55" s="1"/>
  <c r="AP140" i="55" s="1"/>
  <c r="P136" i="55"/>
  <c r="Q136" i="55" s="1"/>
  <c r="R136" i="55" s="1"/>
  <c r="S136" i="55" s="1"/>
  <c r="T136" i="55" s="1"/>
  <c r="U136" i="55" s="1"/>
  <c r="V136" i="55" s="1"/>
  <c r="W136" i="55" s="1"/>
  <c r="X136" i="55" s="1"/>
  <c r="Y136" i="55" s="1"/>
  <c r="Z136" i="55" s="1"/>
  <c r="AA136" i="55" s="1"/>
  <c r="AB136" i="55" s="1"/>
  <c r="AC136" i="55" s="1"/>
  <c r="AD136" i="55" s="1"/>
  <c r="AE136" i="55" s="1"/>
  <c r="AF136" i="55" s="1"/>
  <c r="AG136" i="55" s="1"/>
  <c r="AH136" i="55" s="1"/>
  <c r="AI136" i="55" s="1"/>
  <c r="AJ136" i="55" s="1"/>
  <c r="AK136" i="55" s="1"/>
  <c r="AL136" i="55" s="1"/>
  <c r="AM136" i="55" s="1"/>
  <c r="AN136" i="55" s="1"/>
  <c r="AO136" i="55" s="1"/>
  <c r="AP136" i="55" s="1"/>
  <c r="P141" i="55"/>
  <c r="Q141" i="55" s="1"/>
  <c r="R141" i="55" s="1"/>
  <c r="S141" i="55" s="1"/>
  <c r="T141" i="55" s="1"/>
  <c r="U141" i="55" s="1"/>
  <c r="V141" i="55" s="1"/>
  <c r="W141" i="55" s="1"/>
  <c r="X141" i="55" s="1"/>
  <c r="Y141" i="55" s="1"/>
  <c r="Z141" i="55" s="1"/>
  <c r="AA141" i="55" s="1"/>
  <c r="AB141" i="55" s="1"/>
  <c r="AC141" i="55" s="1"/>
  <c r="AD141" i="55" s="1"/>
  <c r="AE141" i="55" s="1"/>
  <c r="AF141" i="55" s="1"/>
  <c r="AG141" i="55" s="1"/>
  <c r="AH141" i="55" s="1"/>
  <c r="AI141" i="55" s="1"/>
  <c r="AJ141" i="55" s="1"/>
  <c r="AK141" i="55" s="1"/>
  <c r="AL141" i="55" s="1"/>
  <c r="AM141" i="55" s="1"/>
  <c r="AN141" i="55" s="1"/>
  <c r="AO141" i="55" s="1"/>
  <c r="AP141" i="55" s="1"/>
  <c r="K145" i="55"/>
  <c r="L145" i="55" s="1"/>
  <c r="M145" i="55" s="1"/>
  <c r="N145" i="55" s="1"/>
  <c r="O145" i="55" s="1"/>
  <c r="P145" i="55" s="1"/>
  <c r="Q145" i="55" s="1"/>
  <c r="R145" i="55" s="1"/>
  <c r="S145" i="55" s="1"/>
  <c r="T145" i="55" s="1"/>
  <c r="U145" i="55" s="1"/>
  <c r="V145" i="55" s="1"/>
  <c r="W145" i="55" s="1"/>
  <c r="X145" i="55" s="1"/>
  <c r="Y145" i="55" s="1"/>
  <c r="Z145" i="55" s="1"/>
  <c r="AA145" i="55" s="1"/>
  <c r="AB145" i="55" s="1"/>
  <c r="AC145" i="55" s="1"/>
  <c r="AD145" i="55" s="1"/>
  <c r="AE145" i="55" s="1"/>
  <c r="AF145" i="55" s="1"/>
  <c r="AG145" i="55" s="1"/>
  <c r="AH145" i="55" s="1"/>
  <c r="AI145" i="55" s="1"/>
  <c r="AJ145" i="55" s="1"/>
  <c r="AK145" i="55" s="1"/>
  <c r="AL145" i="55" s="1"/>
  <c r="AM145" i="55" s="1"/>
  <c r="AN145" i="55" s="1"/>
  <c r="AO145" i="55" s="1"/>
  <c r="AP145" i="55" s="1"/>
  <c r="K151" i="55"/>
  <c r="L151" i="55" s="1"/>
  <c r="K148" i="55"/>
  <c r="L148" i="55" s="1"/>
  <c r="M148" i="55" s="1"/>
  <c r="N148" i="55" s="1"/>
  <c r="O148" i="55" s="1"/>
  <c r="P148" i="55" s="1"/>
  <c r="Q148" i="55" s="1"/>
  <c r="R148" i="55" s="1"/>
  <c r="S148" i="55" s="1"/>
  <c r="T148" i="55" s="1"/>
  <c r="U148" i="55" s="1"/>
  <c r="V148" i="55" s="1"/>
  <c r="W148" i="55" s="1"/>
  <c r="X148" i="55" s="1"/>
  <c r="Y148" i="55" s="1"/>
  <c r="Z148" i="55" s="1"/>
  <c r="AA148" i="55" s="1"/>
  <c r="AB148" i="55" s="1"/>
  <c r="AC148" i="55" s="1"/>
  <c r="AD148" i="55" s="1"/>
  <c r="AE148" i="55" s="1"/>
  <c r="AF148" i="55" s="1"/>
  <c r="AG148" i="55" s="1"/>
  <c r="AH148" i="55" s="1"/>
  <c r="AI148" i="55" s="1"/>
  <c r="AJ148" i="55" s="1"/>
  <c r="AK148" i="55" s="1"/>
  <c r="AL148" i="55" s="1"/>
  <c r="AM148" i="55" s="1"/>
  <c r="AN148" i="55" s="1"/>
  <c r="AO148" i="55" s="1"/>
  <c r="AP148" i="55" s="1"/>
  <c r="K152" i="55"/>
  <c r="L152" i="55" s="1"/>
  <c r="M152" i="55" s="1"/>
  <c r="N152" i="55" s="1"/>
  <c r="O152" i="55" s="1"/>
  <c r="P152" i="55" s="1"/>
  <c r="Q152" i="55" s="1"/>
  <c r="R152" i="55" s="1"/>
  <c r="S152" i="55" s="1"/>
  <c r="T152" i="55" s="1"/>
  <c r="U152" i="55" s="1"/>
  <c r="V152" i="55" s="1"/>
  <c r="W152" i="55" s="1"/>
  <c r="X152" i="55" s="1"/>
  <c r="Y152" i="55" s="1"/>
  <c r="Z152" i="55" s="1"/>
  <c r="AA152" i="55" s="1"/>
  <c r="AB152" i="55" s="1"/>
  <c r="AC152" i="55" s="1"/>
  <c r="AD152" i="55" s="1"/>
  <c r="AE152" i="55" s="1"/>
  <c r="AF152" i="55" s="1"/>
  <c r="AG152" i="55" s="1"/>
  <c r="AH152" i="55" s="1"/>
  <c r="AI152" i="55" s="1"/>
  <c r="AJ152" i="55" s="1"/>
  <c r="AK152" i="55" s="1"/>
  <c r="AL152" i="55" s="1"/>
  <c r="AM152" i="55" s="1"/>
  <c r="AN152" i="55" s="1"/>
  <c r="AO152" i="55" s="1"/>
  <c r="AP152" i="55" s="1"/>
  <c r="K149" i="55"/>
  <c r="L149" i="55" s="1"/>
  <c r="M149" i="55" s="1"/>
  <c r="N149" i="55" s="1"/>
  <c r="O149" i="55" s="1"/>
  <c r="P149" i="55" s="1"/>
  <c r="Q149" i="55" s="1"/>
  <c r="R149" i="55" s="1"/>
  <c r="S149" i="55" s="1"/>
  <c r="T149" i="55" s="1"/>
  <c r="U149" i="55" s="1"/>
  <c r="V149" i="55" s="1"/>
  <c r="W149" i="55" s="1"/>
  <c r="X149" i="55" s="1"/>
  <c r="Y149" i="55" s="1"/>
  <c r="Z149" i="55" s="1"/>
  <c r="AA149" i="55" s="1"/>
  <c r="AB149" i="55" s="1"/>
  <c r="AC149" i="55" s="1"/>
  <c r="AD149" i="55" s="1"/>
  <c r="AE149" i="55" s="1"/>
  <c r="AF149" i="55" s="1"/>
  <c r="AG149" i="55" s="1"/>
  <c r="AH149" i="55" s="1"/>
  <c r="AI149" i="55" s="1"/>
  <c r="AJ149" i="55" s="1"/>
  <c r="AK149" i="55" s="1"/>
  <c r="AL149" i="55" s="1"/>
  <c r="AM149" i="55" s="1"/>
  <c r="AN149" i="55" s="1"/>
  <c r="AO149" i="55" s="1"/>
  <c r="AP149" i="55" s="1"/>
  <c r="K146" i="55"/>
  <c r="L146" i="55" s="1"/>
  <c r="M146" i="55" s="1"/>
  <c r="N146" i="55" s="1"/>
  <c r="O146" i="55" s="1"/>
  <c r="P146" i="55" s="1"/>
  <c r="Q146" i="55" s="1"/>
  <c r="R146" i="55" s="1"/>
  <c r="S146" i="55" s="1"/>
  <c r="T146" i="55" s="1"/>
  <c r="U146" i="55" s="1"/>
  <c r="V146" i="55" s="1"/>
  <c r="W146" i="55" s="1"/>
  <c r="X146" i="55" s="1"/>
  <c r="Y146" i="55" s="1"/>
  <c r="Z146" i="55" s="1"/>
  <c r="AA146" i="55" s="1"/>
  <c r="AB146" i="55" s="1"/>
  <c r="AC146" i="55" s="1"/>
  <c r="AD146" i="55" s="1"/>
  <c r="AE146" i="55" s="1"/>
  <c r="AF146" i="55" s="1"/>
  <c r="AG146" i="55" s="1"/>
  <c r="AH146" i="55" s="1"/>
  <c r="AI146" i="55" s="1"/>
  <c r="AJ146" i="55" s="1"/>
  <c r="AK146" i="55" s="1"/>
  <c r="AL146" i="55" s="1"/>
  <c r="AM146" i="55" s="1"/>
  <c r="AN146" i="55" s="1"/>
  <c r="AO146" i="55" s="1"/>
  <c r="AP146" i="55" s="1"/>
  <c r="K136" i="55"/>
  <c r="L136" i="55" s="1"/>
  <c r="K139" i="55"/>
  <c r="L139" i="55" s="1"/>
  <c r="K141" i="55"/>
  <c r="L141" i="55" s="1"/>
  <c r="K150" i="55"/>
  <c r="L150" i="55" s="1"/>
  <c r="M150" i="55" s="1"/>
  <c r="N150" i="55" s="1"/>
  <c r="O150" i="55" s="1"/>
  <c r="P150" i="55" s="1"/>
  <c r="Q150" i="55" s="1"/>
  <c r="R150" i="55" s="1"/>
  <c r="S150" i="55" s="1"/>
  <c r="T150" i="55" s="1"/>
  <c r="U150" i="55" s="1"/>
  <c r="V150" i="55" s="1"/>
  <c r="W150" i="55" s="1"/>
  <c r="X150" i="55" s="1"/>
  <c r="Y150" i="55" s="1"/>
  <c r="Z150" i="55" s="1"/>
  <c r="AA150" i="55" s="1"/>
  <c r="AB150" i="55" s="1"/>
  <c r="AC150" i="55" s="1"/>
  <c r="AD150" i="55" s="1"/>
  <c r="AE150" i="55" s="1"/>
  <c r="AF150" i="55" s="1"/>
  <c r="AG150" i="55" s="1"/>
  <c r="AH150" i="55" s="1"/>
  <c r="AI150" i="55" s="1"/>
  <c r="AJ150" i="55" s="1"/>
  <c r="AK150" i="55" s="1"/>
  <c r="AL150" i="55" s="1"/>
  <c r="AM150" i="55" s="1"/>
  <c r="AN150" i="55" s="1"/>
  <c r="AO150" i="55" s="1"/>
  <c r="AP150" i="55" s="1"/>
  <c r="K135" i="55"/>
  <c r="L135" i="55" s="1"/>
  <c r="K142" i="55"/>
  <c r="L142" i="55" s="1"/>
  <c r="K137" i="55"/>
  <c r="L137" i="55" s="1"/>
  <c r="K138" i="55"/>
  <c r="L138" i="55" s="1"/>
  <c r="K134" i="55"/>
  <c r="L134" i="55" s="1"/>
  <c r="K153" i="55"/>
  <c r="L153" i="55" s="1"/>
  <c r="M153" i="55" s="1"/>
  <c r="N153" i="55" s="1"/>
  <c r="O153" i="55" s="1"/>
  <c r="P153" i="55" s="1"/>
  <c r="Q153" i="55" s="1"/>
  <c r="R153" i="55" s="1"/>
  <c r="S153" i="55" s="1"/>
  <c r="T153" i="55" s="1"/>
  <c r="U153" i="55" s="1"/>
  <c r="V153" i="55" s="1"/>
  <c r="W153" i="55" s="1"/>
  <c r="X153" i="55" s="1"/>
  <c r="Y153" i="55" s="1"/>
  <c r="Z153" i="55" s="1"/>
  <c r="AA153" i="55" s="1"/>
  <c r="AB153" i="55" s="1"/>
  <c r="AC153" i="55" s="1"/>
  <c r="AD153" i="55" s="1"/>
  <c r="AE153" i="55" s="1"/>
  <c r="AF153" i="55" s="1"/>
  <c r="AG153" i="55" s="1"/>
  <c r="AH153" i="55" s="1"/>
  <c r="AI153" i="55" s="1"/>
  <c r="AJ153" i="55" s="1"/>
  <c r="AK153" i="55" s="1"/>
  <c r="AL153" i="55" s="1"/>
  <c r="AM153" i="55" s="1"/>
  <c r="AN153" i="55" s="1"/>
  <c r="AO153" i="55" s="1"/>
  <c r="AP153" i="55" s="1"/>
  <c r="K143" i="55"/>
  <c r="L143" i="55" s="1"/>
  <c r="M143" i="55" s="1"/>
  <c r="N143" i="55" s="1"/>
  <c r="O143" i="55" s="1"/>
  <c r="P143" i="55" s="1"/>
  <c r="Q143" i="55" s="1"/>
  <c r="R143" i="55" s="1"/>
  <c r="S143" i="55" s="1"/>
  <c r="T143" i="55" s="1"/>
  <c r="U143" i="55" s="1"/>
  <c r="V143" i="55" s="1"/>
  <c r="W143" i="55" s="1"/>
  <c r="X143" i="55" s="1"/>
  <c r="Y143" i="55" s="1"/>
  <c r="Z143" i="55" s="1"/>
  <c r="AA143" i="55" s="1"/>
  <c r="AB143" i="55" s="1"/>
  <c r="AC143" i="55" s="1"/>
  <c r="AD143" i="55" s="1"/>
  <c r="AE143" i="55" s="1"/>
  <c r="AF143" i="55" s="1"/>
  <c r="AG143" i="55" s="1"/>
  <c r="AH143" i="55" s="1"/>
  <c r="AI143" i="55" s="1"/>
  <c r="AJ143" i="55" s="1"/>
  <c r="AK143" i="55" s="1"/>
  <c r="AL143" i="55" s="1"/>
  <c r="AM143" i="55" s="1"/>
  <c r="AN143" i="55" s="1"/>
  <c r="AO143" i="55" s="1"/>
  <c r="AP143" i="55" s="1"/>
  <c r="K147" i="55"/>
  <c r="L147" i="55" s="1"/>
  <c r="M147" i="55" s="1"/>
  <c r="N147" i="55" s="1"/>
  <c r="O147" i="55" s="1"/>
  <c r="P147" i="55" s="1"/>
  <c r="Q147" i="55" s="1"/>
  <c r="R147" i="55" s="1"/>
  <c r="S147" i="55" s="1"/>
  <c r="T147" i="55" s="1"/>
  <c r="U147" i="55" s="1"/>
  <c r="V147" i="55" s="1"/>
  <c r="W147" i="55" s="1"/>
  <c r="X147" i="55" s="1"/>
  <c r="Y147" i="55" s="1"/>
  <c r="Z147" i="55" s="1"/>
  <c r="AA147" i="55" s="1"/>
  <c r="AB147" i="55" s="1"/>
  <c r="AC147" i="55" s="1"/>
  <c r="AD147" i="55" s="1"/>
  <c r="AE147" i="55" s="1"/>
  <c r="AF147" i="55" s="1"/>
  <c r="AG147" i="55" s="1"/>
  <c r="AH147" i="55" s="1"/>
  <c r="AI147" i="55" s="1"/>
  <c r="AJ147" i="55" s="1"/>
  <c r="AK147" i="55" s="1"/>
  <c r="AL147" i="55" s="1"/>
  <c r="AM147" i="55" s="1"/>
  <c r="AN147" i="55" s="1"/>
  <c r="AO147" i="55" s="1"/>
  <c r="AP147" i="55" s="1"/>
  <c r="K140" i="55"/>
  <c r="L140" i="55" s="1"/>
  <c r="K144" i="55"/>
  <c r="L144" i="55" s="1"/>
  <c r="K110" i="55"/>
  <c r="L110" i="55" s="1"/>
  <c r="M110" i="55" s="1"/>
  <c r="N110" i="55" s="1"/>
  <c r="O110" i="55" s="1"/>
  <c r="P110" i="55" s="1"/>
  <c r="Q110" i="55" s="1"/>
  <c r="R110" i="55" s="1"/>
  <c r="S110" i="55" s="1"/>
  <c r="T110" i="55" s="1"/>
  <c r="U110" i="55" s="1"/>
  <c r="V110" i="55" s="1"/>
  <c r="W110" i="55" s="1"/>
  <c r="X110" i="55" s="1"/>
  <c r="Y110" i="55" s="1"/>
  <c r="Z110" i="55" s="1"/>
  <c r="AA110" i="55" s="1"/>
  <c r="AB110" i="55" s="1"/>
  <c r="AC110" i="55" s="1"/>
  <c r="AD110" i="55" s="1"/>
  <c r="AE110" i="55" s="1"/>
  <c r="AF110" i="55" s="1"/>
  <c r="AG110" i="55" s="1"/>
  <c r="AH110" i="55" s="1"/>
  <c r="AI110" i="55" s="1"/>
  <c r="AJ110" i="55" s="1"/>
  <c r="AK110" i="55" s="1"/>
  <c r="AL110" i="55" s="1"/>
  <c r="AM110" i="55" s="1"/>
  <c r="AN110" i="55" s="1"/>
  <c r="AO110" i="55" s="1"/>
  <c r="AP110" i="55" s="1"/>
  <c r="K111" i="55"/>
  <c r="L111" i="55" s="1"/>
  <c r="M111" i="55" s="1"/>
  <c r="N111" i="55" s="1"/>
  <c r="O111" i="55" s="1"/>
  <c r="P111" i="55" s="1"/>
  <c r="Q111" i="55" s="1"/>
  <c r="R111" i="55" s="1"/>
  <c r="S111" i="55" s="1"/>
  <c r="T111" i="55" s="1"/>
  <c r="U111" i="55" s="1"/>
  <c r="V111" i="55" s="1"/>
  <c r="W111" i="55" s="1"/>
  <c r="X111" i="55" s="1"/>
  <c r="Y111" i="55" s="1"/>
  <c r="Z111" i="55" s="1"/>
  <c r="AA111" i="55" s="1"/>
  <c r="AB111" i="55" s="1"/>
  <c r="AC111" i="55" s="1"/>
  <c r="AD111" i="55" s="1"/>
  <c r="AE111" i="55" s="1"/>
  <c r="AF111" i="55" s="1"/>
  <c r="AG111" i="55" s="1"/>
  <c r="AH111" i="55" s="1"/>
  <c r="AI111" i="55" s="1"/>
  <c r="AJ111" i="55" s="1"/>
  <c r="AK111" i="55" s="1"/>
  <c r="AL111" i="55" s="1"/>
  <c r="AM111" i="55" s="1"/>
  <c r="AN111" i="55" s="1"/>
  <c r="AO111" i="55" s="1"/>
  <c r="AP111" i="55" s="1"/>
  <c r="K99" i="55"/>
  <c r="L99" i="55" s="1"/>
  <c r="M99" i="55" s="1"/>
  <c r="N99" i="55" s="1"/>
  <c r="O99" i="55" s="1"/>
  <c r="P99" i="55" s="1"/>
  <c r="Q99" i="55" s="1"/>
  <c r="R99" i="55" s="1"/>
  <c r="S99" i="55" s="1"/>
  <c r="T99" i="55" s="1"/>
  <c r="U99" i="55" s="1"/>
  <c r="V99" i="55" s="1"/>
  <c r="W99" i="55" s="1"/>
  <c r="X99" i="55" s="1"/>
  <c r="Y99" i="55" s="1"/>
  <c r="Z99" i="55" s="1"/>
  <c r="AA99" i="55" s="1"/>
  <c r="AB99" i="55" s="1"/>
  <c r="AC99" i="55" s="1"/>
  <c r="AD99" i="55" s="1"/>
  <c r="AE99" i="55" s="1"/>
  <c r="AF99" i="55" s="1"/>
  <c r="AG99" i="55" s="1"/>
  <c r="AH99" i="55" s="1"/>
  <c r="AI99" i="55" s="1"/>
  <c r="AJ99" i="55" s="1"/>
  <c r="AK99" i="55" s="1"/>
  <c r="AL99" i="55" s="1"/>
  <c r="AM99" i="55" s="1"/>
  <c r="AN99" i="55" s="1"/>
  <c r="AO99" i="55" s="1"/>
  <c r="AP99" i="55" s="1"/>
  <c r="K100" i="55"/>
  <c r="L100" i="55" s="1"/>
  <c r="M100" i="55" s="1"/>
  <c r="N100" i="55" s="1"/>
  <c r="O100" i="55" s="1"/>
  <c r="P100" i="55" s="1"/>
  <c r="Q100" i="55" s="1"/>
  <c r="R100" i="55" s="1"/>
  <c r="S100" i="55" s="1"/>
  <c r="T100" i="55" s="1"/>
  <c r="U100" i="55" s="1"/>
  <c r="V100" i="55" s="1"/>
  <c r="W100" i="55" s="1"/>
  <c r="X100" i="55" s="1"/>
  <c r="Y100" i="55" s="1"/>
  <c r="Z100" i="55" s="1"/>
  <c r="AA100" i="55" s="1"/>
  <c r="AB100" i="55" s="1"/>
  <c r="AC100" i="55" s="1"/>
  <c r="AD100" i="55" s="1"/>
  <c r="AE100" i="55" s="1"/>
  <c r="AF100" i="55" s="1"/>
  <c r="AG100" i="55" s="1"/>
  <c r="AH100" i="55" s="1"/>
  <c r="AI100" i="55" s="1"/>
  <c r="AJ100" i="55" s="1"/>
  <c r="AK100" i="55" s="1"/>
  <c r="AL100" i="55" s="1"/>
  <c r="AM100" i="55" s="1"/>
  <c r="AN100" i="55" s="1"/>
  <c r="AO100" i="55" s="1"/>
  <c r="AP100" i="55" s="1"/>
  <c r="K104" i="55"/>
  <c r="L104" i="55" s="1"/>
  <c r="M104" i="55" s="1"/>
  <c r="N104" i="55" s="1"/>
  <c r="O104" i="55" s="1"/>
  <c r="P104" i="55" s="1"/>
  <c r="Q104" i="55" s="1"/>
  <c r="R104" i="55" s="1"/>
  <c r="S104" i="55" s="1"/>
  <c r="T104" i="55" s="1"/>
  <c r="U104" i="55" s="1"/>
  <c r="V104" i="55" s="1"/>
  <c r="W104" i="55" s="1"/>
  <c r="X104" i="55" s="1"/>
  <c r="Y104" i="55" s="1"/>
  <c r="Z104" i="55" s="1"/>
  <c r="AA104" i="55" s="1"/>
  <c r="AB104" i="55" s="1"/>
  <c r="AC104" i="55" s="1"/>
  <c r="AD104" i="55" s="1"/>
  <c r="AE104" i="55" s="1"/>
  <c r="AF104" i="55" s="1"/>
  <c r="AG104" i="55" s="1"/>
  <c r="AH104" i="55" s="1"/>
  <c r="AI104" i="55" s="1"/>
  <c r="AJ104" i="55" s="1"/>
  <c r="AK104" i="55" s="1"/>
  <c r="AL104" i="55" s="1"/>
  <c r="AM104" i="55" s="1"/>
  <c r="AN104" i="55" s="1"/>
  <c r="AO104" i="55" s="1"/>
  <c r="AP104" i="55" s="1"/>
  <c r="K94" i="55"/>
  <c r="L94" i="55" s="1"/>
  <c r="M94" i="55" s="1"/>
  <c r="N94" i="55" s="1"/>
  <c r="O94" i="55" s="1"/>
  <c r="P94" i="55" s="1"/>
  <c r="Q94" i="55" s="1"/>
  <c r="R94" i="55" s="1"/>
  <c r="S94" i="55" s="1"/>
  <c r="T94" i="55" s="1"/>
  <c r="U94" i="55" s="1"/>
  <c r="V94" i="55" s="1"/>
  <c r="W94" i="55" s="1"/>
  <c r="X94" i="55" s="1"/>
  <c r="Y94" i="55" s="1"/>
  <c r="Z94" i="55" s="1"/>
  <c r="AA94" i="55" s="1"/>
  <c r="AB94" i="55" s="1"/>
  <c r="AC94" i="55" s="1"/>
  <c r="AD94" i="55" s="1"/>
  <c r="AE94" i="55" s="1"/>
  <c r="AF94" i="55" s="1"/>
  <c r="AG94" i="55" s="1"/>
  <c r="AH94" i="55" s="1"/>
  <c r="AI94" i="55" s="1"/>
  <c r="AJ94" i="55" s="1"/>
  <c r="AK94" i="55" s="1"/>
  <c r="AL94" i="55" s="1"/>
  <c r="AM94" i="55" s="1"/>
  <c r="AN94" i="55" s="1"/>
  <c r="AO94" i="55" s="1"/>
  <c r="AP94" i="55" s="1"/>
  <c r="K108" i="55"/>
  <c r="L108" i="55" s="1"/>
  <c r="M108" i="55" s="1"/>
  <c r="N108" i="55" s="1"/>
  <c r="O108" i="55" s="1"/>
  <c r="P108" i="55" s="1"/>
  <c r="Q108" i="55" s="1"/>
  <c r="R108" i="55" s="1"/>
  <c r="S108" i="55" s="1"/>
  <c r="T108" i="55" s="1"/>
  <c r="U108" i="55" s="1"/>
  <c r="V108" i="55" s="1"/>
  <c r="W108" i="55" s="1"/>
  <c r="X108" i="55" s="1"/>
  <c r="Y108" i="55" s="1"/>
  <c r="Z108" i="55" s="1"/>
  <c r="AA108" i="55" s="1"/>
  <c r="AB108" i="55" s="1"/>
  <c r="AC108" i="55" s="1"/>
  <c r="AD108" i="55" s="1"/>
  <c r="AE108" i="55" s="1"/>
  <c r="AF108" i="55" s="1"/>
  <c r="AG108" i="55" s="1"/>
  <c r="AH108" i="55" s="1"/>
  <c r="AI108" i="55" s="1"/>
  <c r="AJ108" i="55" s="1"/>
  <c r="AK108" i="55" s="1"/>
  <c r="AL108" i="55" s="1"/>
  <c r="AM108" i="55" s="1"/>
  <c r="AN108" i="55" s="1"/>
  <c r="AO108" i="55" s="1"/>
  <c r="AP108" i="55" s="1"/>
  <c r="K103" i="55"/>
  <c r="L103" i="55" s="1"/>
  <c r="M103" i="55" s="1"/>
  <c r="N103" i="55" s="1"/>
  <c r="O103" i="55" s="1"/>
  <c r="P103" i="55" s="1"/>
  <c r="Q103" i="55" s="1"/>
  <c r="R103" i="55" s="1"/>
  <c r="S103" i="55" s="1"/>
  <c r="T103" i="55" s="1"/>
  <c r="U103" i="55" s="1"/>
  <c r="V103" i="55" s="1"/>
  <c r="W103" i="55" s="1"/>
  <c r="X103" i="55" s="1"/>
  <c r="Y103" i="55" s="1"/>
  <c r="Z103" i="55" s="1"/>
  <c r="AA103" i="55" s="1"/>
  <c r="AB103" i="55" s="1"/>
  <c r="AC103" i="55" s="1"/>
  <c r="AD103" i="55" s="1"/>
  <c r="AE103" i="55" s="1"/>
  <c r="AF103" i="55" s="1"/>
  <c r="AG103" i="55" s="1"/>
  <c r="AH103" i="55" s="1"/>
  <c r="AI103" i="55" s="1"/>
  <c r="AJ103" i="55" s="1"/>
  <c r="AK103" i="55" s="1"/>
  <c r="AL103" i="55" s="1"/>
  <c r="AM103" i="55" s="1"/>
  <c r="AN103" i="55" s="1"/>
  <c r="AO103" i="55" s="1"/>
  <c r="AP103" i="55" s="1"/>
  <c r="K96" i="55"/>
  <c r="L96" i="55" s="1"/>
  <c r="M96" i="55" s="1"/>
  <c r="N96" i="55" s="1"/>
  <c r="O96" i="55" s="1"/>
  <c r="P96" i="55" s="1"/>
  <c r="Q96" i="55" s="1"/>
  <c r="R96" i="55" s="1"/>
  <c r="S96" i="55" s="1"/>
  <c r="T96" i="55" s="1"/>
  <c r="U96" i="55" s="1"/>
  <c r="V96" i="55" s="1"/>
  <c r="W96" i="55" s="1"/>
  <c r="X96" i="55" s="1"/>
  <c r="Y96" i="55" s="1"/>
  <c r="Z96" i="55" s="1"/>
  <c r="AA96" i="55" s="1"/>
  <c r="AB96" i="55" s="1"/>
  <c r="AC96" i="55" s="1"/>
  <c r="AD96" i="55" s="1"/>
  <c r="AE96" i="55" s="1"/>
  <c r="AF96" i="55" s="1"/>
  <c r="AG96" i="55" s="1"/>
  <c r="AH96" i="55" s="1"/>
  <c r="AI96" i="55" s="1"/>
  <c r="AJ96" i="55" s="1"/>
  <c r="AK96" i="55" s="1"/>
  <c r="AL96" i="55" s="1"/>
  <c r="AM96" i="55" s="1"/>
  <c r="AN96" i="55" s="1"/>
  <c r="AO96" i="55" s="1"/>
  <c r="AP96" i="55" s="1"/>
  <c r="K106" i="55"/>
  <c r="L106" i="55" s="1"/>
  <c r="M106" i="55" s="1"/>
  <c r="N106" i="55" s="1"/>
  <c r="O106" i="55" s="1"/>
  <c r="P106" i="55" s="1"/>
  <c r="Q106" i="55" s="1"/>
  <c r="R106" i="55" s="1"/>
  <c r="S106" i="55" s="1"/>
  <c r="T106" i="55" s="1"/>
  <c r="U106" i="55" s="1"/>
  <c r="V106" i="55" s="1"/>
  <c r="W106" i="55" s="1"/>
  <c r="X106" i="55" s="1"/>
  <c r="Y106" i="55" s="1"/>
  <c r="Z106" i="55" s="1"/>
  <c r="AA106" i="55" s="1"/>
  <c r="AB106" i="55" s="1"/>
  <c r="AC106" i="55" s="1"/>
  <c r="AD106" i="55" s="1"/>
  <c r="AE106" i="55" s="1"/>
  <c r="AF106" i="55" s="1"/>
  <c r="AG106" i="55" s="1"/>
  <c r="AH106" i="55" s="1"/>
  <c r="AI106" i="55" s="1"/>
  <c r="AJ106" i="55" s="1"/>
  <c r="AK106" i="55" s="1"/>
  <c r="AL106" i="55" s="1"/>
  <c r="AM106" i="55" s="1"/>
  <c r="AN106" i="55" s="1"/>
  <c r="AO106" i="55" s="1"/>
  <c r="AP106" i="55" s="1"/>
  <c r="K102" i="55"/>
  <c r="L102" i="55" s="1"/>
  <c r="M102" i="55" s="1"/>
  <c r="N102" i="55" s="1"/>
  <c r="O102" i="55" s="1"/>
  <c r="P102" i="55" s="1"/>
  <c r="Q102" i="55" s="1"/>
  <c r="R102" i="55" s="1"/>
  <c r="S102" i="55" s="1"/>
  <c r="T102" i="55" s="1"/>
  <c r="U102" i="55" s="1"/>
  <c r="V102" i="55" s="1"/>
  <c r="W102" i="55" s="1"/>
  <c r="X102" i="55" s="1"/>
  <c r="Y102" i="55" s="1"/>
  <c r="Z102" i="55" s="1"/>
  <c r="AA102" i="55" s="1"/>
  <c r="AB102" i="55" s="1"/>
  <c r="AC102" i="55" s="1"/>
  <c r="AD102" i="55" s="1"/>
  <c r="AE102" i="55" s="1"/>
  <c r="AF102" i="55" s="1"/>
  <c r="AG102" i="55" s="1"/>
  <c r="AH102" i="55" s="1"/>
  <c r="AI102" i="55" s="1"/>
  <c r="AJ102" i="55" s="1"/>
  <c r="AK102" i="55" s="1"/>
  <c r="AL102" i="55" s="1"/>
  <c r="AM102" i="55" s="1"/>
  <c r="AN102" i="55" s="1"/>
  <c r="AO102" i="55" s="1"/>
  <c r="AP102" i="55" s="1"/>
  <c r="K109" i="55"/>
  <c r="L109" i="55" s="1"/>
  <c r="M109" i="55" s="1"/>
  <c r="N109" i="55" s="1"/>
  <c r="O109" i="55" s="1"/>
  <c r="P109" i="55" s="1"/>
  <c r="Q109" i="55" s="1"/>
  <c r="R109" i="55" s="1"/>
  <c r="S109" i="55" s="1"/>
  <c r="T109" i="55" s="1"/>
  <c r="U109" i="55" s="1"/>
  <c r="V109" i="55" s="1"/>
  <c r="W109" i="55" s="1"/>
  <c r="X109" i="55" s="1"/>
  <c r="Y109" i="55" s="1"/>
  <c r="Z109" i="55" s="1"/>
  <c r="AA109" i="55" s="1"/>
  <c r="AB109" i="55" s="1"/>
  <c r="AC109" i="55" s="1"/>
  <c r="AD109" i="55" s="1"/>
  <c r="AE109" i="55" s="1"/>
  <c r="AF109" i="55" s="1"/>
  <c r="AG109" i="55" s="1"/>
  <c r="AH109" i="55" s="1"/>
  <c r="AI109" i="55" s="1"/>
  <c r="AJ109" i="55" s="1"/>
  <c r="AK109" i="55" s="1"/>
  <c r="AL109" i="55" s="1"/>
  <c r="AM109" i="55" s="1"/>
  <c r="AN109" i="55" s="1"/>
  <c r="AO109" i="55" s="1"/>
  <c r="AP109" i="55" s="1"/>
  <c r="K105" i="55"/>
  <c r="L105" i="55" s="1"/>
  <c r="M105" i="55" s="1"/>
  <c r="N105" i="55" s="1"/>
  <c r="O105" i="55" s="1"/>
  <c r="P105" i="55" s="1"/>
  <c r="Q105" i="55" s="1"/>
  <c r="R105" i="55" s="1"/>
  <c r="S105" i="55" s="1"/>
  <c r="T105" i="55" s="1"/>
  <c r="U105" i="55" s="1"/>
  <c r="V105" i="55" s="1"/>
  <c r="W105" i="55" s="1"/>
  <c r="X105" i="55" s="1"/>
  <c r="Y105" i="55" s="1"/>
  <c r="Z105" i="55" s="1"/>
  <c r="AA105" i="55" s="1"/>
  <c r="AB105" i="55" s="1"/>
  <c r="AC105" i="55" s="1"/>
  <c r="AD105" i="55" s="1"/>
  <c r="AE105" i="55" s="1"/>
  <c r="AF105" i="55" s="1"/>
  <c r="AG105" i="55" s="1"/>
  <c r="AH105" i="55" s="1"/>
  <c r="AI105" i="55" s="1"/>
  <c r="AJ105" i="55" s="1"/>
  <c r="AK105" i="55" s="1"/>
  <c r="AL105" i="55" s="1"/>
  <c r="AM105" i="55" s="1"/>
  <c r="AN105" i="55" s="1"/>
  <c r="AO105" i="55" s="1"/>
  <c r="AP105" i="55" s="1"/>
  <c r="K107" i="55"/>
  <c r="L107" i="55" s="1"/>
  <c r="M107" i="55" s="1"/>
  <c r="N107" i="55" s="1"/>
  <c r="O107" i="55" s="1"/>
  <c r="P107" i="55" s="1"/>
  <c r="Q107" i="55" s="1"/>
  <c r="R107" i="55" s="1"/>
  <c r="S107" i="55" s="1"/>
  <c r="T107" i="55" s="1"/>
  <c r="U107" i="55" s="1"/>
  <c r="V107" i="55" s="1"/>
  <c r="W107" i="55" s="1"/>
  <c r="X107" i="55" s="1"/>
  <c r="Y107" i="55" s="1"/>
  <c r="Z107" i="55" s="1"/>
  <c r="AA107" i="55" s="1"/>
  <c r="AB107" i="55" s="1"/>
  <c r="AC107" i="55" s="1"/>
  <c r="AD107" i="55" s="1"/>
  <c r="AE107" i="55" s="1"/>
  <c r="AF107" i="55" s="1"/>
  <c r="AG107" i="55" s="1"/>
  <c r="AH107" i="55" s="1"/>
  <c r="AI107" i="55" s="1"/>
  <c r="AJ107" i="55" s="1"/>
  <c r="AK107" i="55" s="1"/>
  <c r="AL107" i="55" s="1"/>
  <c r="AM107" i="55" s="1"/>
  <c r="AN107" i="55" s="1"/>
  <c r="AO107" i="55" s="1"/>
  <c r="AP107" i="55" s="1"/>
  <c r="K98" i="55"/>
  <c r="L98" i="55" s="1"/>
  <c r="M98" i="55" s="1"/>
  <c r="N98" i="55" s="1"/>
  <c r="O98" i="55" s="1"/>
  <c r="P98" i="55" s="1"/>
  <c r="Q98" i="55" s="1"/>
  <c r="R98" i="55" s="1"/>
  <c r="S98" i="55" s="1"/>
  <c r="T98" i="55" s="1"/>
  <c r="U98" i="55" s="1"/>
  <c r="V98" i="55" s="1"/>
  <c r="W98" i="55" s="1"/>
  <c r="X98" i="55" s="1"/>
  <c r="Y98" i="55" s="1"/>
  <c r="Z98" i="55" s="1"/>
  <c r="AA98" i="55" s="1"/>
  <c r="AB98" i="55" s="1"/>
  <c r="AC98" i="55" s="1"/>
  <c r="AD98" i="55" s="1"/>
  <c r="AE98" i="55" s="1"/>
  <c r="AF98" i="55" s="1"/>
  <c r="AG98" i="55" s="1"/>
  <c r="AH98" i="55" s="1"/>
  <c r="AI98" i="55" s="1"/>
  <c r="AJ98" i="55" s="1"/>
  <c r="AK98" i="55" s="1"/>
  <c r="AL98" i="55" s="1"/>
  <c r="AM98" i="55" s="1"/>
  <c r="AN98" i="55" s="1"/>
  <c r="AO98" i="55" s="1"/>
  <c r="AP98" i="55" s="1"/>
  <c r="K101" i="55"/>
  <c r="L101" i="55" s="1"/>
  <c r="M101" i="55" s="1"/>
  <c r="N101" i="55" s="1"/>
  <c r="O101" i="55" s="1"/>
  <c r="P101" i="55" s="1"/>
  <c r="Q101" i="55" s="1"/>
  <c r="R101" i="55" s="1"/>
  <c r="S101" i="55" s="1"/>
  <c r="T101" i="55" s="1"/>
  <c r="U101" i="55" s="1"/>
  <c r="V101" i="55" s="1"/>
  <c r="W101" i="55" s="1"/>
  <c r="X101" i="55" s="1"/>
  <c r="Y101" i="55" s="1"/>
  <c r="Z101" i="55" s="1"/>
  <c r="AA101" i="55" s="1"/>
  <c r="AB101" i="55" s="1"/>
  <c r="AC101" i="55" s="1"/>
  <c r="AD101" i="55" s="1"/>
  <c r="AE101" i="55" s="1"/>
  <c r="AF101" i="55" s="1"/>
  <c r="AG101" i="55" s="1"/>
  <c r="AH101" i="55" s="1"/>
  <c r="AI101" i="55" s="1"/>
  <c r="AJ101" i="55" s="1"/>
  <c r="AK101" i="55" s="1"/>
  <c r="AL101" i="55" s="1"/>
  <c r="AM101" i="55" s="1"/>
  <c r="AN101" i="55" s="1"/>
  <c r="AO101" i="55" s="1"/>
  <c r="AP101" i="55" s="1"/>
  <c r="K93" i="55"/>
  <c r="L93" i="55" s="1"/>
  <c r="M93" i="55" s="1"/>
  <c r="N93" i="55" s="1"/>
  <c r="O93" i="55" s="1"/>
  <c r="P93" i="55" s="1"/>
  <c r="Q93" i="55" s="1"/>
  <c r="R93" i="55" s="1"/>
  <c r="S93" i="55" s="1"/>
  <c r="T93" i="55" s="1"/>
  <c r="U93" i="55" s="1"/>
  <c r="V93" i="55" s="1"/>
  <c r="W93" i="55" s="1"/>
  <c r="X93" i="55" s="1"/>
  <c r="Y93" i="55" s="1"/>
  <c r="Z93" i="55" s="1"/>
  <c r="AA93" i="55" s="1"/>
  <c r="AB93" i="55" s="1"/>
  <c r="AC93" i="55" s="1"/>
  <c r="AD93" i="55" s="1"/>
  <c r="AE93" i="55" s="1"/>
  <c r="AF93" i="55" s="1"/>
  <c r="AG93" i="55" s="1"/>
  <c r="AH93" i="55" s="1"/>
  <c r="AI93" i="55" s="1"/>
  <c r="AJ93" i="55" s="1"/>
  <c r="AK93" i="55" s="1"/>
  <c r="AL93" i="55" s="1"/>
  <c r="AM93" i="55" s="1"/>
  <c r="AN93" i="55" s="1"/>
  <c r="AO93" i="55" s="1"/>
  <c r="AP93" i="55" s="1"/>
  <c r="K92" i="55"/>
  <c r="L92" i="55" s="1"/>
  <c r="M92" i="55" s="1"/>
  <c r="N92" i="55" s="1"/>
  <c r="O92" i="55" s="1"/>
  <c r="P92" i="55" s="1"/>
  <c r="Q92" i="55" s="1"/>
  <c r="R92" i="55" s="1"/>
  <c r="S92" i="55" s="1"/>
  <c r="T92" i="55" s="1"/>
  <c r="U92" i="55" s="1"/>
  <c r="V92" i="55" s="1"/>
  <c r="W92" i="55" s="1"/>
  <c r="X92" i="55" s="1"/>
  <c r="Y92" i="55" s="1"/>
  <c r="Z92" i="55" s="1"/>
  <c r="AA92" i="55" s="1"/>
  <c r="AB92" i="55" s="1"/>
  <c r="AC92" i="55" s="1"/>
  <c r="AD92" i="55" s="1"/>
  <c r="AE92" i="55" s="1"/>
  <c r="AF92" i="55" s="1"/>
  <c r="AG92" i="55" s="1"/>
  <c r="AH92" i="55" s="1"/>
  <c r="AI92" i="55" s="1"/>
  <c r="AJ92" i="55" s="1"/>
  <c r="AK92" i="55" s="1"/>
  <c r="AL92" i="55" s="1"/>
  <c r="AM92" i="55" s="1"/>
  <c r="AN92" i="55" s="1"/>
  <c r="AO92" i="55" s="1"/>
  <c r="AP92" i="55" s="1"/>
  <c r="K97" i="55"/>
  <c r="L97" i="55" s="1"/>
  <c r="M97" i="55" s="1"/>
  <c r="N97" i="55" s="1"/>
  <c r="O97" i="55" s="1"/>
  <c r="P97" i="55" s="1"/>
  <c r="Q97" i="55" s="1"/>
  <c r="R97" i="55" s="1"/>
  <c r="S97" i="55" s="1"/>
  <c r="T97" i="55" s="1"/>
  <c r="U97" i="55" s="1"/>
  <c r="V97" i="55" s="1"/>
  <c r="W97" i="55" s="1"/>
  <c r="X97" i="55" s="1"/>
  <c r="Y97" i="55" s="1"/>
  <c r="Z97" i="55" s="1"/>
  <c r="AA97" i="55" s="1"/>
  <c r="AB97" i="55" s="1"/>
  <c r="AC97" i="55" s="1"/>
  <c r="AD97" i="55" s="1"/>
  <c r="AE97" i="55" s="1"/>
  <c r="AF97" i="55" s="1"/>
  <c r="AG97" i="55" s="1"/>
  <c r="AH97" i="55" s="1"/>
  <c r="AI97" i="55" s="1"/>
  <c r="AJ97" i="55" s="1"/>
  <c r="AK97" i="55" s="1"/>
  <c r="AL97" i="55" s="1"/>
  <c r="AM97" i="55" s="1"/>
  <c r="AN97" i="55" s="1"/>
  <c r="AO97" i="55" s="1"/>
  <c r="AP97" i="55" s="1"/>
  <c r="K95" i="55"/>
  <c r="L95" i="55" s="1"/>
  <c r="M95" i="55" s="1"/>
  <c r="N95" i="55" s="1"/>
  <c r="O95" i="55" s="1"/>
  <c r="P95" i="55" s="1"/>
  <c r="Q95" i="55" s="1"/>
  <c r="R95" i="55" s="1"/>
  <c r="S95" i="55" s="1"/>
  <c r="T95" i="55" s="1"/>
  <c r="U95" i="55" s="1"/>
  <c r="V95" i="55" s="1"/>
  <c r="W95" i="55" s="1"/>
  <c r="X95" i="55" s="1"/>
  <c r="Y95" i="55" s="1"/>
  <c r="Z95" i="55" s="1"/>
  <c r="AA95" i="55" s="1"/>
  <c r="AB95" i="55" s="1"/>
  <c r="AC95" i="55" s="1"/>
  <c r="AD95" i="55" s="1"/>
  <c r="AE95" i="55" s="1"/>
  <c r="AF95" i="55" s="1"/>
  <c r="AG95" i="55" s="1"/>
  <c r="AH95" i="55" s="1"/>
  <c r="AI95" i="55" s="1"/>
  <c r="AJ95" i="55" s="1"/>
  <c r="AK95" i="55" s="1"/>
  <c r="AL95" i="55" s="1"/>
  <c r="AM95" i="55" s="1"/>
  <c r="AN95" i="55" s="1"/>
  <c r="AO95" i="55" s="1"/>
  <c r="AP95" i="55" s="1"/>
  <c r="K122" i="55"/>
  <c r="L122" i="55" s="1"/>
  <c r="M122" i="55" s="1"/>
  <c r="N122" i="55" s="1"/>
  <c r="O122" i="55" s="1"/>
  <c r="P122" i="55" s="1"/>
  <c r="Q122" i="55" s="1"/>
  <c r="R122" i="55" s="1"/>
  <c r="S122" i="55" s="1"/>
  <c r="T122" i="55" s="1"/>
  <c r="U122" i="55" s="1"/>
  <c r="V122" i="55" s="1"/>
  <c r="W122" i="55" s="1"/>
  <c r="X122" i="55" s="1"/>
  <c r="Y122" i="55" s="1"/>
  <c r="Z122" i="55" s="1"/>
  <c r="AA122" i="55" s="1"/>
  <c r="AB122" i="55" s="1"/>
  <c r="AC122" i="55" s="1"/>
  <c r="AD122" i="55" s="1"/>
  <c r="AE122" i="55" s="1"/>
  <c r="AF122" i="55" s="1"/>
  <c r="AG122" i="55" s="1"/>
  <c r="AH122" i="55" s="1"/>
  <c r="AI122" i="55" s="1"/>
  <c r="AJ122" i="55" s="1"/>
  <c r="AK122" i="55" s="1"/>
  <c r="AL122" i="55" s="1"/>
  <c r="AM122" i="55" s="1"/>
  <c r="AN122" i="55" s="1"/>
  <c r="AO122" i="55" s="1"/>
  <c r="AP122" i="55" s="1"/>
  <c r="K121" i="55"/>
  <c r="L121" i="55" s="1"/>
  <c r="M121" i="55" s="1"/>
  <c r="N121" i="55" s="1"/>
  <c r="O121" i="55" s="1"/>
  <c r="P121" i="55" s="1"/>
  <c r="Q121" i="55" s="1"/>
  <c r="R121" i="55" s="1"/>
  <c r="S121" i="55" s="1"/>
  <c r="T121" i="55" s="1"/>
  <c r="U121" i="55" s="1"/>
  <c r="V121" i="55" s="1"/>
  <c r="W121" i="55" s="1"/>
  <c r="X121" i="55" s="1"/>
  <c r="Y121" i="55" s="1"/>
  <c r="Z121" i="55" s="1"/>
  <c r="AA121" i="55" s="1"/>
  <c r="AB121" i="55" s="1"/>
  <c r="AC121" i="55" s="1"/>
  <c r="AD121" i="55" s="1"/>
  <c r="AE121" i="55" s="1"/>
  <c r="AF121" i="55" s="1"/>
  <c r="AG121" i="55" s="1"/>
  <c r="AH121" i="55" s="1"/>
  <c r="AI121" i="55" s="1"/>
  <c r="AJ121" i="55" s="1"/>
  <c r="AK121" i="55" s="1"/>
  <c r="AL121" i="55" s="1"/>
  <c r="AM121" i="55" s="1"/>
  <c r="AN121" i="55" s="1"/>
  <c r="AO121" i="55" s="1"/>
  <c r="AP121" i="55" s="1"/>
  <c r="K131" i="55"/>
  <c r="L131" i="55" s="1"/>
  <c r="M131" i="55" s="1"/>
  <c r="N131" i="55" s="1"/>
  <c r="O131" i="55" s="1"/>
  <c r="P131" i="55" s="1"/>
  <c r="Q131" i="55" s="1"/>
  <c r="R131" i="55" s="1"/>
  <c r="S131" i="55" s="1"/>
  <c r="T131" i="55" s="1"/>
  <c r="U131" i="55" s="1"/>
  <c r="V131" i="55" s="1"/>
  <c r="W131" i="55" s="1"/>
  <c r="X131" i="55" s="1"/>
  <c r="Y131" i="55" s="1"/>
  <c r="Z131" i="55" s="1"/>
  <c r="AA131" i="55" s="1"/>
  <c r="AB131" i="55" s="1"/>
  <c r="AC131" i="55" s="1"/>
  <c r="AD131" i="55" s="1"/>
  <c r="AE131" i="55" s="1"/>
  <c r="AF131" i="55" s="1"/>
  <c r="AG131" i="55" s="1"/>
  <c r="AH131" i="55" s="1"/>
  <c r="AI131" i="55" s="1"/>
  <c r="AJ131" i="55" s="1"/>
  <c r="AK131" i="55" s="1"/>
  <c r="AL131" i="55" s="1"/>
  <c r="AM131" i="55" s="1"/>
  <c r="AN131" i="55" s="1"/>
  <c r="AO131" i="55" s="1"/>
  <c r="AP131" i="55" s="1"/>
  <c r="K128" i="55"/>
  <c r="L128" i="55" s="1"/>
  <c r="M128" i="55" s="1"/>
  <c r="N128" i="55" s="1"/>
  <c r="O128" i="55" s="1"/>
  <c r="P128" i="55" s="1"/>
  <c r="Q128" i="55" s="1"/>
  <c r="R128" i="55" s="1"/>
  <c r="S128" i="55" s="1"/>
  <c r="T128" i="55" s="1"/>
  <c r="U128" i="55" s="1"/>
  <c r="V128" i="55" s="1"/>
  <c r="W128" i="55" s="1"/>
  <c r="X128" i="55" s="1"/>
  <c r="Y128" i="55" s="1"/>
  <c r="Z128" i="55" s="1"/>
  <c r="AA128" i="55" s="1"/>
  <c r="AB128" i="55" s="1"/>
  <c r="AC128" i="55" s="1"/>
  <c r="AD128" i="55" s="1"/>
  <c r="AE128" i="55" s="1"/>
  <c r="AF128" i="55" s="1"/>
  <c r="AG128" i="55" s="1"/>
  <c r="AH128" i="55" s="1"/>
  <c r="AI128" i="55" s="1"/>
  <c r="AJ128" i="55" s="1"/>
  <c r="AK128" i="55" s="1"/>
  <c r="AL128" i="55" s="1"/>
  <c r="AM128" i="55" s="1"/>
  <c r="AN128" i="55" s="1"/>
  <c r="AO128" i="55" s="1"/>
  <c r="AP128" i="55" s="1"/>
  <c r="K125" i="55"/>
  <c r="L125" i="55" s="1"/>
  <c r="M125" i="55" s="1"/>
  <c r="N125" i="55" s="1"/>
  <c r="O125" i="55" s="1"/>
  <c r="P125" i="55" s="1"/>
  <c r="Q125" i="55" s="1"/>
  <c r="R125" i="55" s="1"/>
  <c r="S125" i="55" s="1"/>
  <c r="T125" i="55" s="1"/>
  <c r="U125" i="55" s="1"/>
  <c r="V125" i="55" s="1"/>
  <c r="W125" i="55" s="1"/>
  <c r="X125" i="55" s="1"/>
  <c r="Y125" i="55" s="1"/>
  <c r="Z125" i="55" s="1"/>
  <c r="AA125" i="55" s="1"/>
  <c r="AB125" i="55" s="1"/>
  <c r="AC125" i="55" s="1"/>
  <c r="AD125" i="55" s="1"/>
  <c r="AE125" i="55" s="1"/>
  <c r="AF125" i="55" s="1"/>
  <c r="AG125" i="55" s="1"/>
  <c r="AH125" i="55" s="1"/>
  <c r="AI125" i="55" s="1"/>
  <c r="AJ125" i="55" s="1"/>
  <c r="AK125" i="55" s="1"/>
  <c r="AL125" i="55" s="1"/>
  <c r="AM125" i="55" s="1"/>
  <c r="AN125" i="55" s="1"/>
  <c r="AO125" i="55" s="1"/>
  <c r="AP125" i="55" s="1"/>
  <c r="K113" i="55"/>
  <c r="L113" i="55" s="1"/>
  <c r="M113" i="55" s="1"/>
  <c r="N113" i="55" s="1"/>
  <c r="O113" i="55" s="1"/>
  <c r="P113" i="55" s="1"/>
  <c r="Q113" i="55" s="1"/>
  <c r="R113" i="55" s="1"/>
  <c r="S113" i="55" s="1"/>
  <c r="T113" i="55" s="1"/>
  <c r="U113" i="55" s="1"/>
  <c r="V113" i="55" s="1"/>
  <c r="W113" i="55" s="1"/>
  <c r="X113" i="55" s="1"/>
  <c r="Y113" i="55" s="1"/>
  <c r="Z113" i="55" s="1"/>
  <c r="AA113" i="55" s="1"/>
  <c r="AB113" i="55" s="1"/>
  <c r="AC113" i="55" s="1"/>
  <c r="AD113" i="55" s="1"/>
  <c r="AE113" i="55" s="1"/>
  <c r="AF113" i="55" s="1"/>
  <c r="AG113" i="55" s="1"/>
  <c r="AH113" i="55" s="1"/>
  <c r="AI113" i="55" s="1"/>
  <c r="AJ113" i="55" s="1"/>
  <c r="AK113" i="55" s="1"/>
  <c r="AL113" i="55" s="1"/>
  <c r="AM113" i="55" s="1"/>
  <c r="AN113" i="55" s="1"/>
  <c r="AO113" i="55" s="1"/>
  <c r="AP113" i="55" s="1"/>
  <c r="K132" i="55"/>
  <c r="L132" i="55" s="1"/>
  <c r="M132" i="55" s="1"/>
  <c r="N132" i="55" s="1"/>
  <c r="O132" i="55" s="1"/>
  <c r="P132" i="55" s="1"/>
  <c r="Q132" i="55" s="1"/>
  <c r="R132" i="55" s="1"/>
  <c r="S132" i="55" s="1"/>
  <c r="T132" i="55" s="1"/>
  <c r="U132" i="55" s="1"/>
  <c r="V132" i="55" s="1"/>
  <c r="W132" i="55" s="1"/>
  <c r="X132" i="55" s="1"/>
  <c r="Y132" i="55" s="1"/>
  <c r="Z132" i="55" s="1"/>
  <c r="AA132" i="55" s="1"/>
  <c r="AB132" i="55" s="1"/>
  <c r="AC132" i="55" s="1"/>
  <c r="AD132" i="55" s="1"/>
  <c r="AE132" i="55" s="1"/>
  <c r="AF132" i="55" s="1"/>
  <c r="AG132" i="55" s="1"/>
  <c r="AH132" i="55" s="1"/>
  <c r="AI132" i="55" s="1"/>
  <c r="AJ132" i="55" s="1"/>
  <c r="AK132" i="55" s="1"/>
  <c r="AL132" i="55" s="1"/>
  <c r="AM132" i="55" s="1"/>
  <c r="AN132" i="55" s="1"/>
  <c r="AO132" i="55" s="1"/>
  <c r="AP132" i="55" s="1"/>
  <c r="K114" i="55"/>
  <c r="L114" i="55" s="1"/>
  <c r="M114" i="55" s="1"/>
  <c r="N114" i="55" s="1"/>
  <c r="O114" i="55" s="1"/>
  <c r="P114" i="55" s="1"/>
  <c r="Q114" i="55" s="1"/>
  <c r="R114" i="55" s="1"/>
  <c r="S114" i="55" s="1"/>
  <c r="T114" i="55" s="1"/>
  <c r="U114" i="55" s="1"/>
  <c r="V114" i="55" s="1"/>
  <c r="W114" i="55" s="1"/>
  <c r="X114" i="55" s="1"/>
  <c r="Y114" i="55" s="1"/>
  <c r="Z114" i="55" s="1"/>
  <c r="AA114" i="55" s="1"/>
  <c r="AB114" i="55" s="1"/>
  <c r="AC114" i="55" s="1"/>
  <c r="AD114" i="55" s="1"/>
  <c r="AE114" i="55" s="1"/>
  <c r="AF114" i="55" s="1"/>
  <c r="AG114" i="55" s="1"/>
  <c r="AH114" i="55" s="1"/>
  <c r="AI114" i="55" s="1"/>
  <c r="AJ114" i="55" s="1"/>
  <c r="AK114" i="55" s="1"/>
  <c r="AL114" i="55" s="1"/>
  <c r="AM114" i="55" s="1"/>
  <c r="AN114" i="55" s="1"/>
  <c r="AO114" i="55" s="1"/>
  <c r="AP114" i="55" s="1"/>
  <c r="K118" i="55"/>
  <c r="L118" i="55" s="1"/>
  <c r="M118" i="55" s="1"/>
  <c r="N118" i="55" s="1"/>
  <c r="O118" i="55" s="1"/>
  <c r="P118" i="55" s="1"/>
  <c r="Q118" i="55" s="1"/>
  <c r="R118" i="55" s="1"/>
  <c r="S118" i="55" s="1"/>
  <c r="T118" i="55" s="1"/>
  <c r="U118" i="55" s="1"/>
  <c r="V118" i="55" s="1"/>
  <c r="W118" i="55" s="1"/>
  <c r="X118" i="55" s="1"/>
  <c r="Y118" i="55" s="1"/>
  <c r="Z118" i="55" s="1"/>
  <c r="AA118" i="55" s="1"/>
  <c r="AB118" i="55" s="1"/>
  <c r="AC118" i="55" s="1"/>
  <c r="AD118" i="55" s="1"/>
  <c r="AE118" i="55" s="1"/>
  <c r="AF118" i="55" s="1"/>
  <c r="AG118" i="55" s="1"/>
  <c r="AH118" i="55" s="1"/>
  <c r="AI118" i="55" s="1"/>
  <c r="AJ118" i="55" s="1"/>
  <c r="AK118" i="55" s="1"/>
  <c r="AL118" i="55" s="1"/>
  <c r="AM118" i="55" s="1"/>
  <c r="AN118" i="55" s="1"/>
  <c r="AO118" i="55" s="1"/>
  <c r="AP118" i="55" s="1"/>
  <c r="K130" i="55"/>
  <c r="L130" i="55" s="1"/>
  <c r="M130" i="55" s="1"/>
  <c r="N130" i="55" s="1"/>
  <c r="O130" i="55" s="1"/>
  <c r="P130" i="55" s="1"/>
  <c r="Q130" i="55" s="1"/>
  <c r="R130" i="55" s="1"/>
  <c r="S130" i="55" s="1"/>
  <c r="T130" i="55" s="1"/>
  <c r="U130" i="55" s="1"/>
  <c r="V130" i="55" s="1"/>
  <c r="W130" i="55" s="1"/>
  <c r="X130" i="55" s="1"/>
  <c r="Y130" i="55" s="1"/>
  <c r="Z130" i="55" s="1"/>
  <c r="AA130" i="55" s="1"/>
  <c r="AB130" i="55" s="1"/>
  <c r="AC130" i="55" s="1"/>
  <c r="AD130" i="55" s="1"/>
  <c r="AE130" i="55" s="1"/>
  <c r="AF130" i="55" s="1"/>
  <c r="AG130" i="55" s="1"/>
  <c r="AH130" i="55" s="1"/>
  <c r="AI130" i="55" s="1"/>
  <c r="AJ130" i="55" s="1"/>
  <c r="AK130" i="55" s="1"/>
  <c r="AL130" i="55" s="1"/>
  <c r="AM130" i="55" s="1"/>
  <c r="AN130" i="55" s="1"/>
  <c r="AO130" i="55" s="1"/>
  <c r="AP130" i="55" s="1"/>
  <c r="K123" i="55"/>
  <c r="L123" i="55" s="1"/>
  <c r="M123" i="55" s="1"/>
  <c r="N123" i="55" s="1"/>
  <c r="O123" i="55" s="1"/>
  <c r="P123" i="55" s="1"/>
  <c r="Q123" i="55" s="1"/>
  <c r="R123" i="55" s="1"/>
  <c r="S123" i="55" s="1"/>
  <c r="T123" i="55" s="1"/>
  <c r="U123" i="55" s="1"/>
  <c r="V123" i="55" s="1"/>
  <c r="W123" i="55" s="1"/>
  <c r="X123" i="55" s="1"/>
  <c r="Y123" i="55" s="1"/>
  <c r="Z123" i="55" s="1"/>
  <c r="AA123" i="55" s="1"/>
  <c r="AB123" i="55" s="1"/>
  <c r="AC123" i="55" s="1"/>
  <c r="AD123" i="55" s="1"/>
  <c r="AE123" i="55" s="1"/>
  <c r="AF123" i="55" s="1"/>
  <c r="AG123" i="55" s="1"/>
  <c r="AH123" i="55" s="1"/>
  <c r="AI123" i="55" s="1"/>
  <c r="AJ123" i="55" s="1"/>
  <c r="AK123" i="55" s="1"/>
  <c r="AL123" i="55" s="1"/>
  <c r="AM123" i="55" s="1"/>
  <c r="AN123" i="55" s="1"/>
  <c r="AO123" i="55" s="1"/>
  <c r="AP123" i="55" s="1"/>
  <c r="K129" i="55"/>
  <c r="L129" i="55" s="1"/>
  <c r="M129" i="55" s="1"/>
  <c r="N129" i="55" s="1"/>
  <c r="O129" i="55" s="1"/>
  <c r="P129" i="55" s="1"/>
  <c r="Q129" i="55" s="1"/>
  <c r="R129" i="55" s="1"/>
  <c r="S129" i="55" s="1"/>
  <c r="T129" i="55" s="1"/>
  <c r="U129" i="55" s="1"/>
  <c r="V129" i="55" s="1"/>
  <c r="W129" i="55" s="1"/>
  <c r="X129" i="55" s="1"/>
  <c r="Y129" i="55" s="1"/>
  <c r="Z129" i="55" s="1"/>
  <c r="AA129" i="55" s="1"/>
  <c r="AB129" i="55" s="1"/>
  <c r="AC129" i="55" s="1"/>
  <c r="AD129" i="55" s="1"/>
  <c r="AE129" i="55" s="1"/>
  <c r="AF129" i="55" s="1"/>
  <c r="AG129" i="55" s="1"/>
  <c r="AH129" i="55" s="1"/>
  <c r="AI129" i="55" s="1"/>
  <c r="AJ129" i="55" s="1"/>
  <c r="AK129" i="55" s="1"/>
  <c r="AL129" i="55" s="1"/>
  <c r="AM129" i="55" s="1"/>
  <c r="AN129" i="55" s="1"/>
  <c r="AO129" i="55" s="1"/>
  <c r="AP129" i="55" s="1"/>
  <c r="K120" i="55"/>
  <c r="L120" i="55" s="1"/>
  <c r="M120" i="55" s="1"/>
  <c r="N120" i="55" s="1"/>
  <c r="O120" i="55" s="1"/>
  <c r="P120" i="55" s="1"/>
  <c r="Q120" i="55" s="1"/>
  <c r="R120" i="55" s="1"/>
  <c r="S120" i="55" s="1"/>
  <c r="T120" i="55" s="1"/>
  <c r="U120" i="55" s="1"/>
  <c r="V120" i="55" s="1"/>
  <c r="W120" i="55" s="1"/>
  <c r="X120" i="55" s="1"/>
  <c r="Y120" i="55" s="1"/>
  <c r="Z120" i="55" s="1"/>
  <c r="AA120" i="55" s="1"/>
  <c r="AB120" i="55" s="1"/>
  <c r="AC120" i="55" s="1"/>
  <c r="AD120" i="55" s="1"/>
  <c r="AE120" i="55" s="1"/>
  <c r="AF120" i="55" s="1"/>
  <c r="AG120" i="55" s="1"/>
  <c r="AH120" i="55" s="1"/>
  <c r="AI120" i="55" s="1"/>
  <c r="AJ120" i="55" s="1"/>
  <c r="AK120" i="55" s="1"/>
  <c r="AL120" i="55" s="1"/>
  <c r="AM120" i="55" s="1"/>
  <c r="AN120" i="55" s="1"/>
  <c r="AO120" i="55" s="1"/>
  <c r="AP120" i="55" s="1"/>
  <c r="K124" i="55"/>
  <c r="L124" i="55" s="1"/>
  <c r="M124" i="55" s="1"/>
  <c r="N124" i="55" s="1"/>
  <c r="O124" i="55" s="1"/>
  <c r="P124" i="55" s="1"/>
  <c r="Q124" i="55" s="1"/>
  <c r="R124" i="55" s="1"/>
  <c r="S124" i="55" s="1"/>
  <c r="T124" i="55" s="1"/>
  <c r="U124" i="55" s="1"/>
  <c r="V124" i="55" s="1"/>
  <c r="W124" i="55" s="1"/>
  <c r="X124" i="55" s="1"/>
  <c r="Y124" i="55" s="1"/>
  <c r="Z124" i="55" s="1"/>
  <c r="AA124" i="55" s="1"/>
  <c r="AB124" i="55" s="1"/>
  <c r="AC124" i="55" s="1"/>
  <c r="AD124" i="55" s="1"/>
  <c r="AE124" i="55" s="1"/>
  <c r="AF124" i="55" s="1"/>
  <c r="AG124" i="55" s="1"/>
  <c r="AH124" i="55" s="1"/>
  <c r="AI124" i="55" s="1"/>
  <c r="AJ124" i="55" s="1"/>
  <c r="AK124" i="55" s="1"/>
  <c r="AL124" i="55" s="1"/>
  <c r="AM124" i="55" s="1"/>
  <c r="AN124" i="55" s="1"/>
  <c r="AO124" i="55" s="1"/>
  <c r="AP124" i="55" s="1"/>
  <c r="K126" i="55"/>
  <c r="L126" i="55" s="1"/>
  <c r="M126" i="55" s="1"/>
  <c r="N126" i="55" s="1"/>
  <c r="O126" i="55" s="1"/>
  <c r="P126" i="55" s="1"/>
  <c r="Q126" i="55" s="1"/>
  <c r="R126" i="55" s="1"/>
  <c r="S126" i="55" s="1"/>
  <c r="T126" i="55" s="1"/>
  <c r="U126" i="55" s="1"/>
  <c r="V126" i="55" s="1"/>
  <c r="W126" i="55" s="1"/>
  <c r="X126" i="55" s="1"/>
  <c r="Y126" i="55" s="1"/>
  <c r="Z126" i="55" s="1"/>
  <c r="AA126" i="55" s="1"/>
  <c r="AB126" i="55" s="1"/>
  <c r="AC126" i="55" s="1"/>
  <c r="AD126" i="55" s="1"/>
  <c r="AE126" i="55" s="1"/>
  <c r="AF126" i="55" s="1"/>
  <c r="AG126" i="55" s="1"/>
  <c r="AH126" i="55" s="1"/>
  <c r="AI126" i="55" s="1"/>
  <c r="AJ126" i="55" s="1"/>
  <c r="AK126" i="55" s="1"/>
  <c r="AL126" i="55" s="1"/>
  <c r="AM126" i="55" s="1"/>
  <c r="AN126" i="55" s="1"/>
  <c r="AO126" i="55" s="1"/>
  <c r="AP126" i="55" s="1"/>
  <c r="K115" i="55"/>
  <c r="L115" i="55" s="1"/>
  <c r="M115" i="55" s="1"/>
  <c r="N115" i="55" s="1"/>
  <c r="O115" i="55" s="1"/>
  <c r="P115" i="55" s="1"/>
  <c r="Q115" i="55" s="1"/>
  <c r="R115" i="55" s="1"/>
  <c r="S115" i="55" s="1"/>
  <c r="T115" i="55" s="1"/>
  <c r="U115" i="55" s="1"/>
  <c r="V115" i="55" s="1"/>
  <c r="W115" i="55" s="1"/>
  <c r="X115" i="55" s="1"/>
  <c r="Y115" i="55" s="1"/>
  <c r="Z115" i="55" s="1"/>
  <c r="AA115" i="55" s="1"/>
  <c r="AB115" i="55" s="1"/>
  <c r="AC115" i="55" s="1"/>
  <c r="AD115" i="55" s="1"/>
  <c r="AE115" i="55" s="1"/>
  <c r="AF115" i="55" s="1"/>
  <c r="AG115" i="55" s="1"/>
  <c r="AH115" i="55" s="1"/>
  <c r="AI115" i="55" s="1"/>
  <c r="AJ115" i="55" s="1"/>
  <c r="AK115" i="55" s="1"/>
  <c r="AL115" i="55" s="1"/>
  <c r="AM115" i="55" s="1"/>
  <c r="AN115" i="55" s="1"/>
  <c r="AO115" i="55" s="1"/>
  <c r="AP115" i="55" s="1"/>
  <c r="K119" i="55"/>
  <c r="L119" i="55" s="1"/>
  <c r="M119" i="55" s="1"/>
  <c r="N119" i="55" s="1"/>
  <c r="O119" i="55" s="1"/>
  <c r="P119" i="55" s="1"/>
  <c r="Q119" i="55" s="1"/>
  <c r="R119" i="55" s="1"/>
  <c r="S119" i="55" s="1"/>
  <c r="T119" i="55" s="1"/>
  <c r="U119" i="55" s="1"/>
  <c r="V119" i="55" s="1"/>
  <c r="W119" i="55" s="1"/>
  <c r="X119" i="55" s="1"/>
  <c r="Y119" i="55" s="1"/>
  <c r="Z119" i="55" s="1"/>
  <c r="AA119" i="55" s="1"/>
  <c r="AB119" i="55" s="1"/>
  <c r="AC119" i="55" s="1"/>
  <c r="AD119" i="55" s="1"/>
  <c r="AE119" i="55" s="1"/>
  <c r="AF119" i="55" s="1"/>
  <c r="AG119" i="55" s="1"/>
  <c r="AH119" i="55" s="1"/>
  <c r="AI119" i="55" s="1"/>
  <c r="AJ119" i="55" s="1"/>
  <c r="AK119" i="55" s="1"/>
  <c r="AL119" i="55" s="1"/>
  <c r="AM119" i="55" s="1"/>
  <c r="AN119" i="55" s="1"/>
  <c r="AO119" i="55" s="1"/>
  <c r="AP119" i="55" s="1"/>
  <c r="K127" i="55"/>
  <c r="L127" i="55" s="1"/>
  <c r="M127" i="55" s="1"/>
  <c r="N127" i="55" s="1"/>
  <c r="O127" i="55" s="1"/>
  <c r="P127" i="55" s="1"/>
  <c r="Q127" i="55" s="1"/>
  <c r="R127" i="55" s="1"/>
  <c r="S127" i="55" s="1"/>
  <c r="T127" i="55" s="1"/>
  <c r="U127" i="55" s="1"/>
  <c r="V127" i="55" s="1"/>
  <c r="W127" i="55" s="1"/>
  <c r="X127" i="55" s="1"/>
  <c r="Y127" i="55" s="1"/>
  <c r="Z127" i="55" s="1"/>
  <c r="AA127" i="55" s="1"/>
  <c r="AB127" i="55" s="1"/>
  <c r="AC127" i="55" s="1"/>
  <c r="AD127" i="55" s="1"/>
  <c r="AE127" i="55" s="1"/>
  <c r="AF127" i="55" s="1"/>
  <c r="AG127" i="55" s="1"/>
  <c r="AH127" i="55" s="1"/>
  <c r="AI127" i="55" s="1"/>
  <c r="AJ127" i="55" s="1"/>
  <c r="AK127" i="55" s="1"/>
  <c r="AL127" i="55" s="1"/>
  <c r="AM127" i="55" s="1"/>
  <c r="AN127" i="55" s="1"/>
  <c r="AO127" i="55" s="1"/>
  <c r="AP127" i="55" s="1"/>
  <c r="K116" i="55"/>
  <c r="L116" i="55" s="1"/>
  <c r="M116" i="55" s="1"/>
  <c r="N116" i="55" s="1"/>
  <c r="O116" i="55" s="1"/>
  <c r="P116" i="55" s="1"/>
  <c r="Q116" i="55" s="1"/>
  <c r="R116" i="55" s="1"/>
  <c r="S116" i="55" s="1"/>
  <c r="T116" i="55" s="1"/>
  <c r="U116" i="55" s="1"/>
  <c r="V116" i="55" s="1"/>
  <c r="W116" i="55" s="1"/>
  <c r="X116" i="55" s="1"/>
  <c r="Y116" i="55" s="1"/>
  <c r="Z116" i="55" s="1"/>
  <c r="AA116" i="55" s="1"/>
  <c r="AB116" i="55" s="1"/>
  <c r="AC116" i="55" s="1"/>
  <c r="AD116" i="55" s="1"/>
  <c r="AE116" i="55" s="1"/>
  <c r="AF116" i="55" s="1"/>
  <c r="AG116" i="55" s="1"/>
  <c r="AH116" i="55" s="1"/>
  <c r="AI116" i="55" s="1"/>
  <c r="AJ116" i="55" s="1"/>
  <c r="AK116" i="55" s="1"/>
  <c r="AL116" i="55" s="1"/>
  <c r="AM116" i="55" s="1"/>
  <c r="AN116" i="55" s="1"/>
  <c r="AO116" i="55" s="1"/>
  <c r="AP116" i="55" s="1"/>
  <c r="K117" i="55"/>
  <c r="L117" i="55" s="1"/>
  <c r="M117" i="55" s="1"/>
  <c r="N117" i="55" s="1"/>
  <c r="O117" i="55" s="1"/>
  <c r="P117" i="55" s="1"/>
  <c r="Q117" i="55" s="1"/>
  <c r="R117" i="55" s="1"/>
  <c r="S117" i="55" s="1"/>
  <c r="T117" i="55" s="1"/>
  <c r="U117" i="55" s="1"/>
  <c r="V117" i="55" s="1"/>
  <c r="W117" i="55" s="1"/>
  <c r="X117" i="55" s="1"/>
  <c r="Y117" i="55" s="1"/>
  <c r="Z117" i="55" s="1"/>
  <c r="AA117" i="55" s="1"/>
  <c r="AB117" i="55" s="1"/>
  <c r="AC117" i="55" s="1"/>
  <c r="AD117" i="55" s="1"/>
  <c r="AE117" i="55" s="1"/>
  <c r="AF117" i="55" s="1"/>
  <c r="AG117" i="55" s="1"/>
  <c r="AH117" i="55" s="1"/>
  <c r="AI117" i="55" s="1"/>
  <c r="AJ117" i="55" s="1"/>
  <c r="AK117" i="55" s="1"/>
  <c r="AL117" i="55" s="1"/>
  <c r="AM117" i="55" s="1"/>
  <c r="AN117" i="55" s="1"/>
  <c r="AO117" i="55" s="1"/>
  <c r="AP117" i="55" s="1"/>
  <c r="P236" i="55"/>
  <c r="Q236" i="55" s="1"/>
  <c r="R236" i="55" s="1"/>
  <c r="S236" i="55" s="1"/>
  <c r="T236" i="55" s="1"/>
  <c r="U236" i="55" s="1"/>
  <c r="V236" i="55" s="1"/>
  <c r="W236" i="55" s="1"/>
  <c r="X236" i="55" s="1"/>
  <c r="Y236" i="55" s="1"/>
  <c r="Z236" i="55" s="1"/>
  <c r="AA236" i="55" s="1"/>
  <c r="AB236" i="55" s="1"/>
  <c r="AC236" i="55" s="1"/>
  <c r="AD236" i="55" s="1"/>
  <c r="AE236" i="55" s="1"/>
  <c r="AF236" i="55" s="1"/>
  <c r="AG236" i="55" s="1"/>
  <c r="AH236" i="55" s="1"/>
  <c r="AI236" i="55" s="1"/>
  <c r="AJ236" i="55" s="1"/>
  <c r="AK236" i="55" s="1"/>
  <c r="AL236" i="55" s="1"/>
  <c r="AM236" i="55" s="1"/>
  <c r="AN236" i="55" s="1"/>
  <c r="AO236" i="55" s="1"/>
  <c r="AP236"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AH240" i="55" s="1"/>
  <c r="AI240" i="55" s="1"/>
  <c r="AJ240" i="55" s="1"/>
  <c r="AK240" i="55" s="1"/>
  <c r="AL240" i="55" s="1"/>
  <c r="AM240" i="55" s="1"/>
  <c r="AN240" i="55" s="1"/>
  <c r="AO240" i="55" s="1"/>
  <c r="AP240"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AH253" i="55" s="1"/>
  <c r="AI253" i="55" s="1"/>
  <c r="AJ253" i="55" s="1"/>
  <c r="AK253" i="55" s="1"/>
  <c r="AL253" i="55" s="1"/>
  <c r="AM253" i="55" s="1"/>
  <c r="AN253" i="55" s="1"/>
  <c r="AO253" i="55" s="1"/>
  <c r="AP253"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AH241" i="55" s="1"/>
  <c r="AI241" i="55" s="1"/>
  <c r="AJ241" i="55" s="1"/>
  <c r="AK241" i="55" s="1"/>
  <c r="AL241" i="55" s="1"/>
  <c r="AM241" i="55" s="1"/>
  <c r="AN241" i="55" s="1"/>
  <c r="AO241" i="55" s="1"/>
  <c r="AP241" i="55" s="1"/>
  <c r="P243" i="55"/>
  <c r="Q243" i="55" s="1"/>
  <c r="R243" i="55" s="1"/>
  <c r="S243" i="55" s="1"/>
  <c r="T243" i="55" s="1"/>
  <c r="U243" i="55" s="1"/>
  <c r="V243" i="55" s="1"/>
  <c r="W243" i="55" s="1"/>
  <c r="X243" i="55" s="1"/>
  <c r="Y243" i="55" s="1"/>
  <c r="Z243" i="55" s="1"/>
  <c r="AA243" i="55" s="1"/>
  <c r="AB243" i="55" s="1"/>
  <c r="AC243" i="55" s="1"/>
  <c r="AD243" i="55" s="1"/>
  <c r="AE243" i="55" s="1"/>
  <c r="AF243" i="55" s="1"/>
  <c r="AG243" i="55" s="1"/>
  <c r="AH243" i="55" s="1"/>
  <c r="AI243" i="55" s="1"/>
  <c r="AJ243" i="55" s="1"/>
  <c r="AK243" i="55" s="1"/>
  <c r="AL243" i="55" s="1"/>
  <c r="AM243" i="55" s="1"/>
  <c r="AN243" i="55" s="1"/>
  <c r="AO243" i="55" s="1"/>
  <c r="AP243" i="55" s="1"/>
  <c r="P234" i="55"/>
  <c r="Q234" i="55" s="1"/>
  <c r="R234" i="55" s="1"/>
  <c r="S234" i="55" s="1"/>
  <c r="T234" i="55" s="1"/>
  <c r="U234" i="55" s="1"/>
  <c r="V234" i="55" s="1"/>
  <c r="W234" i="55" s="1"/>
  <c r="X234" i="55" s="1"/>
  <c r="Y234" i="55" s="1"/>
  <c r="Z234" i="55" s="1"/>
  <c r="AA234" i="55" s="1"/>
  <c r="AB234" i="55" s="1"/>
  <c r="AC234" i="55" s="1"/>
  <c r="AD234" i="55" s="1"/>
  <c r="AE234" i="55" s="1"/>
  <c r="AF234" i="55" s="1"/>
  <c r="AG234" i="55" s="1"/>
  <c r="AH234" i="55" s="1"/>
  <c r="AI234" i="55" s="1"/>
  <c r="AJ234" i="55" s="1"/>
  <c r="AK234" i="55" s="1"/>
  <c r="AL234" i="55" s="1"/>
  <c r="AM234" i="55" s="1"/>
  <c r="AN234" i="55" s="1"/>
  <c r="AO234" i="55" s="1"/>
  <c r="AP234" i="55" s="1"/>
  <c r="P239" i="55"/>
  <c r="Q239" i="55" s="1"/>
  <c r="R239" i="55" s="1"/>
  <c r="S239" i="55" s="1"/>
  <c r="T239" i="55" s="1"/>
  <c r="U239" i="55" s="1"/>
  <c r="V239" i="55" s="1"/>
  <c r="W239" i="55" s="1"/>
  <c r="X239" i="55" s="1"/>
  <c r="Y239" i="55" s="1"/>
  <c r="Z239" i="55" s="1"/>
  <c r="AA239" i="55" s="1"/>
  <c r="AB239" i="55" s="1"/>
  <c r="AC239" i="55" s="1"/>
  <c r="AD239" i="55" s="1"/>
  <c r="AE239" i="55" s="1"/>
  <c r="AF239" i="55" s="1"/>
  <c r="AG239" i="55" s="1"/>
  <c r="AH239" i="55" s="1"/>
  <c r="AI239" i="55" s="1"/>
  <c r="AJ239" i="55" s="1"/>
  <c r="AK239" i="55" s="1"/>
  <c r="AL239" i="55" s="1"/>
  <c r="AM239" i="55" s="1"/>
  <c r="AN239" i="55" s="1"/>
  <c r="AO239" i="55" s="1"/>
  <c r="AP239" i="55" s="1"/>
  <c r="P237" i="55"/>
  <c r="Q237" i="55" s="1"/>
  <c r="R237" i="55" s="1"/>
  <c r="S237" i="55" s="1"/>
  <c r="T237" i="55" s="1"/>
  <c r="U237" i="55" s="1"/>
  <c r="V237" i="55" s="1"/>
  <c r="W237" i="55" s="1"/>
  <c r="X237" i="55" s="1"/>
  <c r="Y237" i="55" s="1"/>
  <c r="Z237" i="55" s="1"/>
  <c r="AA237" i="55" s="1"/>
  <c r="AB237" i="55" s="1"/>
  <c r="AC237" i="55" s="1"/>
  <c r="AD237" i="55" s="1"/>
  <c r="AE237" i="55" s="1"/>
  <c r="AF237" i="55" s="1"/>
  <c r="AG237" i="55" s="1"/>
  <c r="AH237" i="55" s="1"/>
  <c r="AI237" i="55" s="1"/>
  <c r="AJ237" i="55" s="1"/>
  <c r="AK237" i="55" s="1"/>
  <c r="AL237" i="55" s="1"/>
  <c r="AM237" i="55" s="1"/>
  <c r="AN237" i="55" s="1"/>
  <c r="AO237" i="55" s="1"/>
  <c r="AP237" i="55" s="1"/>
  <c r="P235" i="55"/>
  <c r="Q235" i="55" s="1"/>
  <c r="R235" i="55" s="1"/>
  <c r="S235" i="55" s="1"/>
  <c r="T235" i="55" s="1"/>
  <c r="U235" i="55" s="1"/>
  <c r="V235" i="55" s="1"/>
  <c r="W235" i="55" s="1"/>
  <c r="X235" i="55" s="1"/>
  <c r="Y235" i="55" s="1"/>
  <c r="Z235" i="55" s="1"/>
  <c r="AA235" i="55" s="1"/>
  <c r="AB235" i="55" s="1"/>
  <c r="AC235" i="55" s="1"/>
  <c r="AD235" i="55" s="1"/>
  <c r="AE235" i="55" s="1"/>
  <c r="AF235" i="55" s="1"/>
  <c r="AG235" i="55" s="1"/>
  <c r="AH235" i="55" s="1"/>
  <c r="AI235" i="55" s="1"/>
  <c r="AJ235" i="55" s="1"/>
  <c r="AK235" i="55" s="1"/>
  <c r="AL235" i="55" s="1"/>
  <c r="AM235" i="55" s="1"/>
  <c r="AN235" i="55" s="1"/>
  <c r="AO235" i="55" s="1"/>
  <c r="AP235" i="55" s="1"/>
  <c r="P233" i="55"/>
  <c r="Q233" i="55" s="1"/>
  <c r="R233" i="55" s="1"/>
  <c r="S233" i="55" s="1"/>
  <c r="T233" i="55" s="1"/>
  <c r="U233" i="55" s="1"/>
  <c r="V233" i="55" s="1"/>
  <c r="W233" i="55" s="1"/>
  <c r="X233" i="55" s="1"/>
  <c r="Y233" i="55" s="1"/>
  <c r="Z233" i="55" s="1"/>
  <c r="AA233" i="55" s="1"/>
  <c r="AB233" i="55" s="1"/>
  <c r="AC233" i="55" s="1"/>
  <c r="AD233" i="55" s="1"/>
  <c r="AE233" i="55" s="1"/>
  <c r="AF233" i="55" s="1"/>
  <c r="AG233" i="55" s="1"/>
  <c r="AH233" i="55" s="1"/>
  <c r="AI233" i="55" s="1"/>
  <c r="AJ233" i="55" s="1"/>
  <c r="AK233" i="55" s="1"/>
  <c r="AL233" i="55" s="1"/>
  <c r="AM233" i="55" s="1"/>
  <c r="AN233" i="55" s="1"/>
  <c r="AO233" i="55" s="1"/>
  <c r="AP233" i="55" s="1"/>
  <c r="P238" i="55"/>
  <c r="Q238" i="55" s="1"/>
  <c r="R238" i="55" s="1"/>
  <c r="S238" i="55" s="1"/>
  <c r="T238" i="55" s="1"/>
  <c r="U238" i="55" s="1"/>
  <c r="V238" i="55" s="1"/>
  <c r="W238" i="55" s="1"/>
  <c r="X238" i="55" s="1"/>
  <c r="Y238" i="55" s="1"/>
  <c r="Z238" i="55" s="1"/>
  <c r="AA238" i="55" s="1"/>
  <c r="AB238" i="55" s="1"/>
  <c r="AC238" i="55" s="1"/>
  <c r="AD238" i="55" s="1"/>
  <c r="AE238" i="55" s="1"/>
  <c r="AF238" i="55" s="1"/>
  <c r="AG238" i="55" s="1"/>
  <c r="AH238" i="55" s="1"/>
  <c r="AI238" i="55" s="1"/>
  <c r="AJ238" i="55" s="1"/>
  <c r="AK238" i="55" s="1"/>
  <c r="AL238" i="55" s="1"/>
  <c r="AM238" i="55" s="1"/>
  <c r="AN238" i="55" s="1"/>
  <c r="AO238" i="55" s="1"/>
  <c r="AP238" i="55" s="1"/>
  <c r="K227" i="55"/>
  <c r="L227" i="55" s="1"/>
  <c r="M227" i="55" s="1"/>
  <c r="N227" i="55" s="1"/>
  <c r="O227" i="55" s="1"/>
  <c r="P227" i="55" s="1"/>
  <c r="Q227" i="55" s="1"/>
  <c r="R227" i="55" s="1"/>
  <c r="S227" i="55" s="1"/>
  <c r="T227" i="55" s="1"/>
  <c r="U227" i="55" s="1"/>
  <c r="V227" i="55" s="1"/>
  <c r="W227" i="55" s="1"/>
  <c r="X227" i="55" s="1"/>
  <c r="Y227" i="55" s="1"/>
  <c r="Z227" i="55" s="1"/>
  <c r="AA227" i="55" s="1"/>
  <c r="AB227" i="55" s="1"/>
  <c r="AC227" i="55" s="1"/>
  <c r="AD227" i="55" s="1"/>
  <c r="AE227" i="55" s="1"/>
  <c r="AF227" i="55" s="1"/>
  <c r="AG227" i="55" s="1"/>
  <c r="AH227" i="55" s="1"/>
  <c r="AI227" i="55" s="1"/>
  <c r="AJ227" i="55" s="1"/>
  <c r="AK227" i="55" s="1"/>
  <c r="AL227" i="55" s="1"/>
  <c r="AM227" i="55" s="1"/>
  <c r="AN227" i="55" s="1"/>
  <c r="AO227" i="55" s="1"/>
  <c r="AP227" i="55" s="1"/>
  <c r="K214" i="55"/>
  <c r="L214" i="55" s="1"/>
  <c r="M214" i="55" s="1"/>
  <c r="N214" i="55" s="1"/>
  <c r="O214" i="55" s="1"/>
  <c r="P214" i="55" s="1"/>
  <c r="Q214" i="55" s="1"/>
  <c r="R214" i="55" s="1"/>
  <c r="S214" i="55" s="1"/>
  <c r="T214" i="55" s="1"/>
  <c r="U214" i="55" s="1"/>
  <c r="V214" i="55" s="1"/>
  <c r="W214" i="55" s="1"/>
  <c r="X214" i="55" s="1"/>
  <c r="Y214" i="55" s="1"/>
  <c r="Z214" i="55" s="1"/>
  <c r="AA214" i="55" s="1"/>
  <c r="AB214" i="55" s="1"/>
  <c r="AC214" i="55" s="1"/>
  <c r="AD214" i="55" s="1"/>
  <c r="AE214" i="55" s="1"/>
  <c r="AF214" i="55" s="1"/>
  <c r="AG214" i="55" s="1"/>
  <c r="AH214" i="55" s="1"/>
  <c r="AI214" i="55" s="1"/>
  <c r="AJ214" i="55" s="1"/>
  <c r="AK214" i="55" s="1"/>
  <c r="AL214" i="55" s="1"/>
  <c r="AM214" i="55" s="1"/>
  <c r="AN214" i="55" s="1"/>
  <c r="AO214" i="55" s="1"/>
  <c r="AP214" i="55" s="1"/>
  <c r="K218" i="55"/>
  <c r="L218" i="55" s="1"/>
  <c r="M218" i="55" s="1"/>
  <c r="N218" i="55" s="1"/>
  <c r="O218" i="55" s="1"/>
  <c r="P218" i="55" s="1"/>
  <c r="Q218" i="55" s="1"/>
  <c r="R218" i="55" s="1"/>
  <c r="S218" i="55" s="1"/>
  <c r="T218" i="55" s="1"/>
  <c r="U218" i="55" s="1"/>
  <c r="V218" i="55" s="1"/>
  <c r="W218" i="55" s="1"/>
  <c r="X218" i="55" s="1"/>
  <c r="Y218" i="55" s="1"/>
  <c r="Z218" i="55" s="1"/>
  <c r="AA218" i="55" s="1"/>
  <c r="AB218" i="55" s="1"/>
  <c r="AC218" i="55" s="1"/>
  <c r="AD218" i="55" s="1"/>
  <c r="AE218" i="55" s="1"/>
  <c r="AF218" i="55" s="1"/>
  <c r="AG218" i="55" s="1"/>
  <c r="AH218" i="55" s="1"/>
  <c r="AI218" i="55" s="1"/>
  <c r="AJ218" i="55" s="1"/>
  <c r="AK218" i="55" s="1"/>
  <c r="AL218" i="55" s="1"/>
  <c r="AM218" i="55" s="1"/>
  <c r="AN218" i="55" s="1"/>
  <c r="AO218" i="55" s="1"/>
  <c r="AP218" i="55" s="1"/>
  <c r="K220" i="55"/>
  <c r="L220" i="55" s="1"/>
  <c r="M220" i="55" s="1"/>
  <c r="N220" i="55" s="1"/>
  <c r="O220" i="55" s="1"/>
  <c r="P220" i="55" s="1"/>
  <c r="Q220" i="55" s="1"/>
  <c r="R220" i="55" s="1"/>
  <c r="S220" i="55" s="1"/>
  <c r="T220" i="55" s="1"/>
  <c r="U220" i="55" s="1"/>
  <c r="V220" i="55" s="1"/>
  <c r="W220" i="55" s="1"/>
  <c r="X220" i="55" s="1"/>
  <c r="Y220" i="55" s="1"/>
  <c r="Z220" i="55" s="1"/>
  <c r="AA220" i="55" s="1"/>
  <c r="AB220" i="55" s="1"/>
  <c r="AC220" i="55" s="1"/>
  <c r="AD220" i="55" s="1"/>
  <c r="AE220" i="55" s="1"/>
  <c r="AF220" i="55" s="1"/>
  <c r="AG220" i="55" s="1"/>
  <c r="AH220" i="55" s="1"/>
  <c r="AI220" i="55" s="1"/>
  <c r="AJ220" i="55" s="1"/>
  <c r="AK220" i="55" s="1"/>
  <c r="AL220" i="55" s="1"/>
  <c r="AM220" i="55" s="1"/>
  <c r="AN220" i="55" s="1"/>
  <c r="AO220" i="55" s="1"/>
  <c r="AP220" i="55" s="1"/>
  <c r="K229" i="55"/>
  <c r="L229" i="55" s="1"/>
  <c r="M229" i="55" s="1"/>
  <c r="N229" i="55" s="1"/>
  <c r="O229" i="55" s="1"/>
  <c r="P229" i="55" s="1"/>
  <c r="Q229" i="55" s="1"/>
  <c r="R229" i="55" s="1"/>
  <c r="S229" i="55" s="1"/>
  <c r="T229" i="55" s="1"/>
  <c r="U229" i="55" s="1"/>
  <c r="V229" i="55" s="1"/>
  <c r="W229" i="55" s="1"/>
  <c r="X229" i="55" s="1"/>
  <c r="Y229" i="55" s="1"/>
  <c r="Z229" i="55" s="1"/>
  <c r="AA229" i="55" s="1"/>
  <c r="AB229" i="55" s="1"/>
  <c r="AC229" i="55" s="1"/>
  <c r="AD229" i="55" s="1"/>
  <c r="AE229" i="55" s="1"/>
  <c r="AF229" i="55" s="1"/>
  <c r="AG229" i="55" s="1"/>
  <c r="AH229" i="55" s="1"/>
  <c r="AI229" i="55" s="1"/>
  <c r="AJ229" i="55" s="1"/>
  <c r="AK229" i="55" s="1"/>
  <c r="AL229" i="55" s="1"/>
  <c r="AM229" i="55" s="1"/>
  <c r="AN229" i="55" s="1"/>
  <c r="AO229" i="55" s="1"/>
  <c r="AP229" i="55" s="1"/>
  <c r="K219" i="55"/>
  <c r="L219" i="55" s="1"/>
  <c r="M219" i="55" s="1"/>
  <c r="N219" i="55" s="1"/>
  <c r="O219" i="55" s="1"/>
  <c r="P219" i="55" s="1"/>
  <c r="Q219" i="55" s="1"/>
  <c r="R219" i="55" s="1"/>
  <c r="S219" i="55" s="1"/>
  <c r="T219" i="55" s="1"/>
  <c r="U219" i="55" s="1"/>
  <c r="V219" i="55" s="1"/>
  <c r="W219" i="55" s="1"/>
  <c r="X219" i="55" s="1"/>
  <c r="Y219" i="55" s="1"/>
  <c r="Z219" i="55" s="1"/>
  <c r="AA219" i="55" s="1"/>
  <c r="AB219" i="55" s="1"/>
  <c r="AC219" i="55" s="1"/>
  <c r="AD219" i="55" s="1"/>
  <c r="AE219" i="55" s="1"/>
  <c r="AF219" i="55" s="1"/>
  <c r="AG219" i="55" s="1"/>
  <c r="AH219" i="55" s="1"/>
  <c r="AI219" i="55" s="1"/>
  <c r="AJ219" i="55" s="1"/>
  <c r="AK219" i="55" s="1"/>
  <c r="AL219" i="55" s="1"/>
  <c r="AM219" i="55" s="1"/>
  <c r="AN219" i="55" s="1"/>
  <c r="AO219" i="55" s="1"/>
  <c r="AP219" i="55" s="1"/>
  <c r="K224" i="55"/>
  <c r="L224" i="55" s="1"/>
  <c r="M224" i="55" s="1"/>
  <c r="N224" i="55" s="1"/>
  <c r="O224" i="55" s="1"/>
  <c r="P224" i="55" s="1"/>
  <c r="Q224" i="55" s="1"/>
  <c r="R224" i="55" s="1"/>
  <c r="S224" i="55" s="1"/>
  <c r="T224" i="55" s="1"/>
  <c r="U224" i="55" s="1"/>
  <c r="V224" i="55" s="1"/>
  <c r="W224" i="55" s="1"/>
  <c r="X224" i="55" s="1"/>
  <c r="Y224" i="55" s="1"/>
  <c r="Z224" i="55" s="1"/>
  <c r="AA224" i="55" s="1"/>
  <c r="AB224" i="55" s="1"/>
  <c r="AC224" i="55" s="1"/>
  <c r="AD224" i="55" s="1"/>
  <c r="AE224" i="55" s="1"/>
  <c r="AF224" i="55" s="1"/>
  <c r="AG224" i="55" s="1"/>
  <c r="AH224" i="55" s="1"/>
  <c r="AI224" i="55" s="1"/>
  <c r="AJ224" i="55" s="1"/>
  <c r="AK224" i="55" s="1"/>
  <c r="AL224" i="55" s="1"/>
  <c r="AM224" i="55" s="1"/>
  <c r="AN224" i="55" s="1"/>
  <c r="AO224" i="55" s="1"/>
  <c r="AP224" i="55" s="1"/>
  <c r="K223" i="55"/>
  <c r="L223" i="55" s="1"/>
  <c r="M223" i="55" s="1"/>
  <c r="N223" i="55" s="1"/>
  <c r="O223" i="55" s="1"/>
  <c r="P223" i="55" s="1"/>
  <c r="Q223" i="55" s="1"/>
  <c r="R223" i="55" s="1"/>
  <c r="S223" i="55" s="1"/>
  <c r="T223" i="55" s="1"/>
  <c r="U223" i="55" s="1"/>
  <c r="V223" i="55" s="1"/>
  <c r="W223" i="55" s="1"/>
  <c r="X223" i="55" s="1"/>
  <c r="Y223" i="55" s="1"/>
  <c r="Z223" i="55" s="1"/>
  <c r="AA223" i="55" s="1"/>
  <c r="AB223" i="55" s="1"/>
  <c r="AC223" i="55" s="1"/>
  <c r="AD223" i="55" s="1"/>
  <c r="AE223" i="55" s="1"/>
  <c r="AF223" i="55" s="1"/>
  <c r="AG223" i="55" s="1"/>
  <c r="AH223" i="55" s="1"/>
  <c r="AI223" i="55" s="1"/>
  <c r="AJ223" i="55" s="1"/>
  <c r="AK223" i="55" s="1"/>
  <c r="AL223" i="55" s="1"/>
  <c r="AM223" i="55" s="1"/>
  <c r="AN223" i="55" s="1"/>
  <c r="AO223" i="55" s="1"/>
  <c r="AP223" i="55" s="1"/>
  <c r="K217" i="55"/>
  <c r="L217" i="55" s="1"/>
  <c r="M217" i="55" s="1"/>
  <c r="N217" i="55" s="1"/>
  <c r="O217" i="55" s="1"/>
  <c r="P217" i="55" s="1"/>
  <c r="Q217" i="55" s="1"/>
  <c r="R217" i="55" s="1"/>
  <c r="S217" i="55" s="1"/>
  <c r="T217" i="55" s="1"/>
  <c r="U217" i="55" s="1"/>
  <c r="V217" i="55" s="1"/>
  <c r="W217" i="55" s="1"/>
  <c r="X217" i="55" s="1"/>
  <c r="Y217" i="55" s="1"/>
  <c r="Z217" i="55" s="1"/>
  <c r="AA217" i="55" s="1"/>
  <c r="AB217" i="55" s="1"/>
  <c r="AC217" i="55" s="1"/>
  <c r="AD217" i="55" s="1"/>
  <c r="AE217" i="55" s="1"/>
  <c r="AF217" i="55" s="1"/>
  <c r="AG217" i="55" s="1"/>
  <c r="AH217" i="55" s="1"/>
  <c r="AI217" i="55" s="1"/>
  <c r="AJ217" i="55" s="1"/>
  <c r="AK217" i="55" s="1"/>
  <c r="AL217" i="55" s="1"/>
  <c r="AM217" i="55" s="1"/>
  <c r="AN217" i="55" s="1"/>
  <c r="AO217" i="55" s="1"/>
  <c r="AP217" i="55" s="1"/>
  <c r="K226" i="55"/>
  <c r="L226" i="55" s="1"/>
  <c r="M226" i="55" s="1"/>
  <c r="N226" i="55" s="1"/>
  <c r="O226" i="55" s="1"/>
  <c r="P226" i="55" s="1"/>
  <c r="Q226" i="55" s="1"/>
  <c r="R226" i="55" s="1"/>
  <c r="S226" i="55" s="1"/>
  <c r="T226" i="55" s="1"/>
  <c r="U226" i="55" s="1"/>
  <c r="V226" i="55" s="1"/>
  <c r="W226" i="55" s="1"/>
  <c r="X226" i="55" s="1"/>
  <c r="Y226" i="55" s="1"/>
  <c r="Z226" i="55" s="1"/>
  <c r="AA226" i="55" s="1"/>
  <c r="AB226" i="55" s="1"/>
  <c r="AC226" i="55" s="1"/>
  <c r="AD226" i="55" s="1"/>
  <c r="AE226" i="55" s="1"/>
  <c r="AF226" i="55" s="1"/>
  <c r="AG226" i="55" s="1"/>
  <c r="AH226" i="55" s="1"/>
  <c r="AI226" i="55" s="1"/>
  <c r="AJ226" i="55" s="1"/>
  <c r="AK226" i="55" s="1"/>
  <c r="AL226" i="55" s="1"/>
  <c r="AM226" i="55" s="1"/>
  <c r="AN226" i="55" s="1"/>
  <c r="AO226" i="55" s="1"/>
  <c r="AP226" i="55" s="1"/>
  <c r="K215" i="55"/>
  <c r="L215" i="55" s="1"/>
  <c r="M215" i="55" s="1"/>
  <c r="N215" i="55" s="1"/>
  <c r="O215" i="55" s="1"/>
  <c r="P215" i="55" s="1"/>
  <c r="Q215" i="55" s="1"/>
  <c r="R215" i="55" s="1"/>
  <c r="S215" i="55" s="1"/>
  <c r="T215" i="55" s="1"/>
  <c r="U215" i="55" s="1"/>
  <c r="V215" i="55" s="1"/>
  <c r="W215" i="55" s="1"/>
  <c r="X215" i="55" s="1"/>
  <c r="Y215" i="55" s="1"/>
  <c r="Z215" i="55" s="1"/>
  <c r="AA215" i="55" s="1"/>
  <c r="AB215" i="55" s="1"/>
  <c r="AC215" i="55" s="1"/>
  <c r="AD215" i="55" s="1"/>
  <c r="AE215" i="55" s="1"/>
  <c r="AF215" i="55" s="1"/>
  <c r="AG215" i="55" s="1"/>
  <c r="AH215" i="55" s="1"/>
  <c r="AI215" i="55" s="1"/>
  <c r="AJ215" i="55" s="1"/>
  <c r="AK215" i="55" s="1"/>
  <c r="AL215" i="55" s="1"/>
  <c r="AM215" i="55" s="1"/>
  <c r="AN215" i="55" s="1"/>
  <c r="AO215" i="55" s="1"/>
  <c r="AP215" i="55" s="1"/>
  <c r="K212" i="55"/>
  <c r="L212" i="55" s="1"/>
  <c r="M212" i="55" s="1"/>
  <c r="N212" i="55" s="1"/>
  <c r="O212" i="55" s="1"/>
  <c r="P212" i="55" s="1"/>
  <c r="Q212" i="55" s="1"/>
  <c r="R212" i="55" s="1"/>
  <c r="S212" i="55" s="1"/>
  <c r="T212" i="55" s="1"/>
  <c r="U212" i="55" s="1"/>
  <c r="V212" i="55" s="1"/>
  <c r="W212" i="55" s="1"/>
  <c r="X212" i="55" s="1"/>
  <c r="Y212" i="55" s="1"/>
  <c r="Z212" i="55" s="1"/>
  <c r="AA212" i="55" s="1"/>
  <c r="AB212" i="55" s="1"/>
  <c r="AC212" i="55" s="1"/>
  <c r="AD212" i="55" s="1"/>
  <c r="AE212" i="55" s="1"/>
  <c r="AF212" i="55" s="1"/>
  <c r="AG212" i="55" s="1"/>
  <c r="AH212" i="55" s="1"/>
  <c r="AI212" i="55" s="1"/>
  <c r="AJ212" i="55" s="1"/>
  <c r="AK212" i="55" s="1"/>
  <c r="AL212" i="55" s="1"/>
  <c r="AM212" i="55" s="1"/>
  <c r="AN212" i="55" s="1"/>
  <c r="AO212" i="55" s="1"/>
  <c r="AP212" i="55" s="1"/>
  <c r="K222" i="55"/>
  <c r="L222" i="55" s="1"/>
  <c r="M222" i="55" s="1"/>
  <c r="N222" i="55" s="1"/>
  <c r="O222" i="55" s="1"/>
  <c r="P222" i="55" s="1"/>
  <c r="Q222" i="55" s="1"/>
  <c r="R222" i="55" s="1"/>
  <c r="S222" i="55" s="1"/>
  <c r="T222" i="55" s="1"/>
  <c r="U222" i="55" s="1"/>
  <c r="V222" i="55" s="1"/>
  <c r="W222" i="55" s="1"/>
  <c r="X222" i="55" s="1"/>
  <c r="Y222" i="55" s="1"/>
  <c r="Z222" i="55" s="1"/>
  <c r="AA222" i="55" s="1"/>
  <c r="AB222" i="55" s="1"/>
  <c r="AC222" i="55" s="1"/>
  <c r="AD222" i="55" s="1"/>
  <c r="AE222" i="55" s="1"/>
  <c r="AF222" i="55" s="1"/>
  <c r="AG222" i="55" s="1"/>
  <c r="AH222" i="55" s="1"/>
  <c r="AI222" i="55" s="1"/>
  <c r="AJ222" i="55" s="1"/>
  <c r="AK222" i="55" s="1"/>
  <c r="AL222" i="55" s="1"/>
  <c r="AM222" i="55" s="1"/>
  <c r="AN222" i="55" s="1"/>
  <c r="AO222" i="55" s="1"/>
  <c r="AP222" i="55" s="1"/>
  <c r="K221" i="55"/>
  <c r="L221" i="55" s="1"/>
  <c r="M221" i="55" s="1"/>
  <c r="N221" i="55" s="1"/>
  <c r="O221" i="55" s="1"/>
  <c r="P221" i="55" s="1"/>
  <c r="Q221" i="55" s="1"/>
  <c r="R221" i="55" s="1"/>
  <c r="S221" i="55" s="1"/>
  <c r="T221" i="55" s="1"/>
  <c r="U221" i="55" s="1"/>
  <c r="V221" i="55" s="1"/>
  <c r="W221" i="55" s="1"/>
  <c r="X221" i="55" s="1"/>
  <c r="Y221" i="55" s="1"/>
  <c r="Z221" i="55" s="1"/>
  <c r="AA221" i="55" s="1"/>
  <c r="AB221" i="55" s="1"/>
  <c r="AC221" i="55" s="1"/>
  <c r="AD221" i="55" s="1"/>
  <c r="AE221" i="55" s="1"/>
  <c r="AF221" i="55" s="1"/>
  <c r="AG221" i="55" s="1"/>
  <c r="AH221" i="55" s="1"/>
  <c r="AI221" i="55" s="1"/>
  <c r="AJ221" i="55" s="1"/>
  <c r="AK221" i="55" s="1"/>
  <c r="AL221" i="55" s="1"/>
  <c r="AM221" i="55" s="1"/>
  <c r="AN221" i="55" s="1"/>
  <c r="AO221" i="55" s="1"/>
  <c r="AP221" i="55" s="1"/>
  <c r="K225" i="55"/>
  <c r="L225" i="55" s="1"/>
  <c r="M225" i="55" s="1"/>
  <c r="N225" i="55" s="1"/>
  <c r="O225" i="55" s="1"/>
  <c r="P225" i="55" s="1"/>
  <c r="Q225" i="55" s="1"/>
  <c r="R225" i="55" s="1"/>
  <c r="S225" i="55" s="1"/>
  <c r="T225" i="55" s="1"/>
  <c r="U225" i="55" s="1"/>
  <c r="V225" i="55" s="1"/>
  <c r="W225" i="55" s="1"/>
  <c r="X225" i="55" s="1"/>
  <c r="Y225" i="55" s="1"/>
  <c r="Z225" i="55" s="1"/>
  <c r="AA225" i="55" s="1"/>
  <c r="AB225" i="55" s="1"/>
  <c r="AC225" i="55" s="1"/>
  <c r="AD225" i="55" s="1"/>
  <c r="AE225" i="55" s="1"/>
  <c r="AF225" i="55" s="1"/>
  <c r="AG225" i="55" s="1"/>
  <c r="AH225" i="55" s="1"/>
  <c r="AI225" i="55" s="1"/>
  <c r="AJ225" i="55" s="1"/>
  <c r="AK225" i="55" s="1"/>
  <c r="AL225" i="55" s="1"/>
  <c r="AM225" i="55" s="1"/>
  <c r="AN225" i="55" s="1"/>
  <c r="AO225" i="55" s="1"/>
  <c r="AP225" i="55" s="1"/>
  <c r="K213" i="55"/>
  <c r="L213" i="55" s="1"/>
  <c r="M213" i="55" s="1"/>
  <c r="N213" i="55" s="1"/>
  <c r="O213" i="55" s="1"/>
  <c r="P213" i="55" s="1"/>
  <c r="Q213" i="55" s="1"/>
  <c r="R213" i="55" s="1"/>
  <c r="S213" i="55" s="1"/>
  <c r="T213" i="55" s="1"/>
  <c r="U213" i="55" s="1"/>
  <c r="V213" i="55" s="1"/>
  <c r="W213" i="55" s="1"/>
  <c r="X213" i="55" s="1"/>
  <c r="Y213" i="55" s="1"/>
  <c r="Z213" i="55" s="1"/>
  <c r="AA213" i="55" s="1"/>
  <c r="AB213" i="55" s="1"/>
  <c r="AC213" i="55" s="1"/>
  <c r="AD213" i="55" s="1"/>
  <c r="AE213" i="55" s="1"/>
  <c r="AF213" i="55" s="1"/>
  <c r="AG213" i="55" s="1"/>
  <c r="AH213" i="55" s="1"/>
  <c r="AI213" i="55" s="1"/>
  <c r="AJ213" i="55" s="1"/>
  <c r="AK213" i="55" s="1"/>
  <c r="AL213" i="55" s="1"/>
  <c r="AM213" i="55" s="1"/>
  <c r="AN213" i="55" s="1"/>
  <c r="AO213" i="55" s="1"/>
  <c r="AP213" i="55" s="1"/>
  <c r="K228" i="55"/>
  <c r="L228" i="55" s="1"/>
  <c r="M228" i="55" s="1"/>
  <c r="N228" i="55" s="1"/>
  <c r="O228" i="55" s="1"/>
  <c r="P228" i="55" s="1"/>
  <c r="Q228" i="55" s="1"/>
  <c r="R228" i="55" s="1"/>
  <c r="S228" i="55" s="1"/>
  <c r="T228" i="55" s="1"/>
  <c r="U228" i="55" s="1"/>
  <c r="V228" i="55" s="1"/>
  <c r="W228" i="55" s="1"/>
  <c r="X228" i="55" s="1"/>
  <c r="Y228" i="55" s="1"/>
  <c r="Z228" i="55" s="1"/>
  <c r="AA228" i="55" s="1"/>
  <c r="AB228" i="55" s="1"/>
  <c r="AC228" i="55" s="1"/>
  <c r="AD228" i="55" s="1"/>
  <c r="AE228" i="55" s="1"/>
  <c r="AF228" i="55" s="1"/>
  <c r="AG228" i="55" s="1"/>
  <c r="AH228" i="55" s="1"/>
  <c r="AI228" i="55" s="1"/>
  <c r="AJ228" i="55" s="1"/>
  <c r="AK228" i="55" s="1"/>
  <c r="AL228" i="55" s="1"/>
  <c r="AM228" i="55" s="1"/>
  <c r="AN228" i="55" s="1"/>
  <c r="AO228" i="55" s="1"/>
  <c r="AP228" i="55" s="1"/>
  <c r="K216" i="55"/>
  <c r="L216" i="55" s="1"/>
  <c r="M216" i="55" s="1"/>
  <c r="N216" i="55" s="1"/>
  <c r="O216" i="55" s="1"/>
  <c r="P216" i="55" s="1"/>
  <c r="Q216" i="55" s="1"/>
  <c r="R216" i="55" s="1"/>
  <c r="S216" i="55" s="1"/>
  <c r="T216" i="55" s="1"/>
  <c r="U216" i="55" s="1"/>
  <c r="V216" i="55" s="1"/>
  <c r="W216" i="55" s="1"/>
  <c r="X216" i="55" s="1"/>
  <c r="Y216" i="55" s="1"/>
  <c r="Z216" i="55" s="1"/>
  <c r="AA216" i="55" s="1"/>
  <c r="AB216" i="55" s="1"/>
  <c r="AC216" i="55" s="1"/>
  <c r="AD216" i="55" s="1"/>
  <c r="AE216" i="55" s="1"/>
  <c r="AF216" i="55" s="1"/>
  <c r="AG216" i="55" s="1"/>
  <c r="AH216" i="55" s="1"/>
  <c r="AI216" i="55" s="1"/>
  <c r="AJ216" i="55" s="1"/>
  <c r="AK216" i="55" s="1"/>
  <c r="AL216" i="55" s="1"/>
  <c r="AM216" i="55" s="1"/>
  <c r="AN216" i="55" s="1"/>
  <c r="AO216" i="55" s="1"/>
  <c r="AP216" i="55" s="1"/>
  <c r="S32" i="55" l="1"/>
  <c r="P34" i="55"/>
  <c r="R33" i="55"/>
  <c r="T36" i="55"/>
  <c r="R27" i="55"/>
  <c r="U28" i="55"/>
  <c r="U31" i="55"/>
  <c r="T37" i="55"/>
  <c r="P158" i="55"/>
  <c r="Q158" i="55" s="1"/>
  <c r="R158" i="55" s="1"/>
  <c r="S158" i="55" s="1"/>
  <c r="T158" i="55" s="1"/>
  <c r="U158" i="55" s="1"/>
  <c r="V158" i="55" s="1"/>
  <c r="W158" i="55" s="1"/>
  <c r="X158" i="55" s="1"/>
  <c r="Y158" i="55" s="1"/>
  <c r="Z158" i="55" s="1"/>
  <c r="AA158" i="55" s="1"/>
  <c r="AB158" i="55" s="1"/>
  <c r="AC158" i="55" s="1"/>
  <c r="AD158" i="55" s="1"/>
  <c r="AE158" i="55" s="1"/>
  <c r="AF158" i="55" s="1"/>
  <c r="AG158" i="55" s="1"/>
  <c r="AH158" i="55" s="1"/>
  <c r="AI158" i="55" s="1"/>
  <c r="AJ158" i="55" s="1"/>
  <c r="AK158" i="55" s="1"/>
  <c r="AL158" i="55" s="1"/>
  <c r="AM158" i="55" s="1"/>
  <c r="AN158" i="55" s="1"/>
  <c r="AO158" i="55" s="1"/>
  <c r="AP158" i="55" s="1"/>
  <c r="P160" i="55"/>
  <c r="Q160" i="55" s="1"/>
  <c r="R160" i="55" s="1"/>
  <c r="S160" i="55" s="1"/>
  <c r="T160" i="55" s="1"/>
  <c r="U160" i="55" s="1"/>
  <c r="V160" i="55" s="1"/>
  <c r="W160" i="55" s="1"/>
  <c r="X160" i="55" s="1"/>
  <c r="Y160" i="55" s="1"/>
  <c r="Z160" i="55" s="1"/>
  <c r="AA160" i="55" s="1"/>
  <c r="AB160" i="55" s="1"/>
  <c r="AC160" i="55" s="1"/>
  <c r="AD160" i="55" s="1"/>
  <c r="AE160" i="55" s="1"/>
  <c r="AF160" i="55" s="1"/>
  <c r="AG160" i="55" s="1"/>
  <c r="AH160" i="55" s="1"/>
  <c r="AI160" i="55" s="1"/>
  <c r="AJ160" i="55" s="1"/>
  <c r="AK160" i="55" s="1"/>
  <c r="AL160" i="55" s="1"/>
  <c r="AM160" i="55" s="1"/>
  <c r="AN160" i="55" s="1"/>
  <c r="AO160" i="55" s="1"/>
  <c r="AP160" i="55" s="1"/>
  <c r="P161" i="55"/>
  <c r="Q161" i="55" s="1"/>
  <c r="R161" i="55" s="1"/>
  <c r="S161" i="55" s="1"/>
  <c r="T161" i="55" s="1"/>
  <c r="U161" i="55" s="1"/>
  <c r="V161" i="55" s="1"/>
  <c r="W161" i="55" s="1"/>
  <c r="X161" i="55" s="1"/>
  <c r="Y161" i="55" s="1"/>
  <c r="Z161" i="55" s="1"/>
  <c r="AA161" i="55" s="1"/>
  <c r="AB161" i="55" s="1"/>
  <c r="AC161" i="55" s="1"/>
  <c r="AD161" i="55" s="1"/>
  <c r="AE161" i="55" s="1"/>
  <c r="AF161" i="55" s="1"/>
  <c r="AG161" i="55" s="1"/>
  <c r="AH161" i="55" s="1"/>
  <c r="AI161" i="55" s="1"/>
  <c r="AJ161" i="55" s="1"/>
  <c r="AK161" i="55" s="1"/>
  <c r="AL161" i="55" s="1"/>
  <c r="AM161" i="55" s="1"/>
  <c r="AN161" i="55" s="1"/>
  <c r="AO161" i="55" s="1"/>
  <c r="AP161" i="55" s="1"/>
  <c r="P159" i="55"/>
  <c r="Q159" i="55" s="1"/>
  <c r="R159" i="55" s="1"/>
  <c r="S159" i="55" s="1"/>
  <c r="T159" i="55" s="1"/>
  <c r="U159" i="55" s="1"/>
  <c r="V159" i="55" s="1"/>
  <c r="W159" i="55" s="1"/>
  <c r="X159" i="55" s="1"/>
  <c r="Y159" i="55" s="1"/>
  <c r="Z159" i="55" s="1"/>
  <c r="AA159" i="55" s="1"/>
  <c r="AB159" i="55" s="1"/>
  <c r="AC159" i="55" s="1"/>
  <c r="AD159" i="55" s="1"/>
  <c r="AE159" i="55" s="1"/>
  <c r="AF159" i="55" s="1"/>
  <c r="AG159" i="55" s="1"/>
  <c r="AH159" i="55" s="1"/>
  <c r="AI159" i="55" s="1"/>
  <c r="AJ159" i="55" s="1"/>
  <c r="AK159" i="55" s="1"/>
  <c r="AL159" i="55" s="1"/>
  <c r="AM159" i="55" s="1"/>
  <c r="AN159" i="55" s="1"/>
  <c r="AO159" i="55" s="1"/>
  <c r="AP159" i="55" s="1"/>
  <c r="P156" i="55"/>
  <c r="Q156" i="55" s="1"/>
  <c r="R156" i="55" s="1"/>
  <c r="S156" i="55" s="1"/>
  <c r="T156" i="55" s="1"/>
  <c r="U156" i="55" s="1"/>
  <c r="V156" i="55" s="1"/>
  <c r="W156" i="55" s="1"/>
  <c r="X156" i="55" s="1"/>
  <c r="Y156" i="55" s="1"/>
  <c r="Z156" i="55" s="1"/>
  <c r="AA156" i="55" s="1"/>
  <c r="AB156" i="55" s="1"/>
  <c r="AC156" i="55" s="1"/>
  <c r="AD156" i="55" s="1"/>
  <c r="AE156" i="55" s="1"/>
  <c r="AF156" i="55" s="1"/>
  <c r="AG156" i="55" s="1"/>
  <c r="AH156" i="55" s="1"/>
  <c r="AI156" i="55" s="1"/>
  <c r="AJ156" i="55" s="1"/>
  <c r="AK156" i="55" s="1"/>
  <c r="AL156" i="55" s="1"/>
  <c r="AM156" i="55" s="1"/>
  <c r="AN156" i="55" s="1"/>
  <c r="AO156" i="55" s="1"/>
  <c r="AP156" i="55" s="1"/>
  <c r="P163" i="55"/>
  <c r="Q163" i="55" s="1"/>
  <c r="R163" i="55" s="1"/>
  <c r="S163" i="55" s="1"/>
  <c r="T163" i="55" s="1"/>
  <c r="U163" i="55" s="1"/>
  <c r="V163" i="55" s="1"/>
  <c r="W163" i="55" s="1"/>
  <c r="X163" i="55" s="1"/>
  <c r="Y163" i="55" s="1"/>
  <c r="Z163" i="55" s="1"/>
  <c r="AA163" i="55" s="1"/>
  <c r="AB163" i="55" s="1"/>
  <c r="AC163" i="55" s="1"/>
  <c r="AD163" i="55" s="1"/>
  <c r="AE163" i="55" s="1"/>
  <c r="AF163" i="55" s="1"/>
  <c r="AG163" i="55" s="1"/>
  <c r="AH163" i="55" s="1"/>
  <c r="AI163" i="55" s="1"/>
  <c r="AJ163" i="55" s="1"/>
  <c r="AK163" i="55" s="1"/>
  <c r="AL163" i="55" s="1"/>
  <c r="AM163" i="55" s="1"/>
  <c r="AN163" i="55" s="1"/>
  <c r="AO163" i="55" s="1"/>
  <c r="AP163" i="55" s="1"/>
  <c r="P162" i="55"/>
  <c r="Q162" i="55" s="1"/>
  <c r="R162" i="55" s="1"/>
  <c r="S162" i="55" s="1"/>
  <c r="T162" i="55" s="1"/>
  <c r="U162" i="55" s="1"/>
  <c r="V162" i="55" s="1"/>
  <c r="W162" i="55" s="1"/>
  <c r="X162" i="55" s="1"/>
  <c r="Y162" i="55" s="1"/>
  <c r="Z162" i="55" s="1"/>
  <c r="AA162" i="55" s="1"/>
  <c r="AB162" i="55" s="1"/>
  <c r="AC162" i="55" s="1"/>
  <c r="AD162" i="55" s="1"/>
  <c r="AE162" i="55" s="1"/>
  <c r="AF162" i="55" s="1"/>
  <c r="AG162" i="55" s="1"/>
  <c r="AH162" i="55" s="1"/>
  <c r="AI162" i="55" s="1"/>
  <c r="AJ162" i="55" s="1"/>
  <c r="AK162" i="55" s="1"/>
  <c r="AL162" i="55" s="1"/>
  <c r="AM162" i="55" s="1"/>
  <c r="AN162" i="55" s="1"/>
  <c r="AO162" i="55" s="1"/>
  <c r="AP162" i="55" s="1"/>
  <c r="P157" i="55"/>
  <c r="Q157" i="55" s="1"/>
  <c r="R157" i="55" s="1"/>
  <c r="S157" i="55" s="1"/>
  <c r="T157" i="55" s="1"/>
  <c r="U157" i="55" s="1"/>
  <c r="V157" i="55" s="1"/>
  <c r="W157" i="55" s="1"/>
  <c r="X157" i="55" s="1"/>
  <c r="Y157" i="55" s="1"/>
  <c r="Z157" i="55" s="1"/>
  <c r="AA157" i="55" s="1"/>
  <c r="AB157" i="55" s="1"/>
  <c r="AC157" i="55" s="1"/>
  <c r="AD157" i="55" s="1"/>
  <c r="AE157" i="55" s="1"/>
  <c r="AF157" i="55" s="1"/>
  <c r="AG157" i="55" s="1"/>
  <c r="AH157" i="55" s="1"/>
  <c r="AI157" i="55" s="1"/>
  <c r="AJ157" i="55" s="1"/>
  <c r="AK157" i="55" s="1"/>
  <c r="AL157" i="55" s="1"/>
  <c r="AM157" i="55" s="1"/>
  <c r="AN157" i="55" s="1"/>
  <c r="AO157" i="55" s="1"/>
  <c r="AP157" i="55" s="1"/>
  <c r="P165" i="55"/>
  <c r="Q165" i="55" s="1"/>
  <c r="R165" i="55" s="1"/>
  <c r="S165" i="55" s="1"/>
  <c r="T165" i="55" s="1"/>
  <c r="U165" i="55" s="1"/>
  <c r="V165" i="55" s="1"/>
  <c r="W165" i="55" s="1"/>
  <c r="X165" i="55" s="1"/>
  <c r="Y165" i="55" s="1"/>
  <c r="Z165" i="55" s="1"/>
  <c r="AA165" i="55" s="1"/>
  <c r="AB165" i="55" s="1"/>
  <c r="AC165" i="55" s="1"/>
  <c r="AD165" i="55" s="1"/>
  <c r="AE165" i="55" s="1"/>
  <c r="AF165" i="55" s="1"/>
  <c r="AG165" i="55" s="1"/>
  <c r="AH165" i="55" s="1"/>
  <c r="AI165" i="55" s="1"/>
  <c r="AJ165" i="55" s="1"/>
  <c r="AK165" i="55" s="1"/>
  <c r="AL165" i="55" s="1"/>
  <c r="AM165" i="55" s="1"/>
  <c r="AN165" i="55" s="1"/>
  <c r="AO165" i="55" s="1"/>
  <c r="AP165" i="55" s="1"/>
  <c r="P155" i="55"/>
  <c r="Q155" i="55" s="1"/>
  <c r="R155" i="55" s="1"/>
  <c r="S155" i="55" s="1"/>
  <c r="T155" i="55" s="1"/>
  <c r="U155" i="55" s="1"/>
  <c r="V155" i="55" s="1"/>
  <c r="W155" i="55" s="1"/>
  <c r="X155" i="55" s="1"/>
  <c r="Y155" i="55" s="1"/>
  <c r="Z155" i="55" s="1"/>
  <c r="AA155" i="55" s="1"/>
  <c r="AB155" i="55" s="1"/>
  <c r="AC155" i="55" s="1"/>
  <c r="AD155" i="55" s="1"/>
  <c r="AE155" i="55" s="1"/>
  <c r="AF155" i="55" s="1"/>
  <c r="AG155" i="55" s="1"/>
  <c r="AH155" i="55" s="1"/>
  <c r="AI155" i="55" s="1"/>
  <c r="AJ155" i="55" s="1"/>
  <c r="AK155" i="55" s="1"/>
  <c r="AL155" i="55" s="1"/>
  <c r="AM155" i="55" s="1"/>
  <c r="AN155" i="55" s="1"/>
  <c r="AO155" i="55" s="1"/>
  <c r="AP155" i="55" s="1"/>
  <c r="K162" i="55"/>
  <c r="L162" i="55" s="1"/>
  <c r="K159" i="55"/>
  <c r="L159" i="55" s="1"/>
  <c r="K165" i="55"/>
  <c r="L165" i="55" s="1"/>
  <c r="K161" i="55"/>
  <c r="L161" i="55" s="1"/>
  <c r="K167" i="55"/>
  <c r="L167" i="55" s="1"/>
  <c r="M167" i="55" s="1"/>
  <c r="N167" i="55" s="1"/>
  <c r="O167" i="55" s="1"/>
  <c r="P167" i="55" s="1"/>
  <c r="Q167" i="55" s="1"/>
  <c r="R167" i="55" s="1"/>
  <c r="S167" i="55" s="1"/>
  <c r="T167" i="55" s="1"/>
  <c r="U167" i="55" s="1"/>
  <c r="V167" i="55" s="1"/>
  <c r="W167" i="55" s="1"/>
  <c r="X167" i="55" s="1"/>
  <c r="Y167" i="55" s="1"/>
  <c r="Z167" i="55" s="1"/>
  <c r="AA167" i="55" s="1"/>
  <c r="AB167" i="55" s="1"/>
  <c r="AC167" i="55" s="1"/>
  <c r="AD167" i="55" s="1"/>
  <c r="AE167" i="55" s="1"/>
  <c r="AF167" i="55" s="1"/>
  <c r="AG167" i="55" s="1"/>
  <c r="AH167" i="55" s="1"/>
  <c r="AI167" i="55" s="1"/>
  <c r="AJ167" i="55" s="1"/>
  <c r="AK167" i="55" s="1"/>
  <c r="AL167" i="55" s="1"/>
  <c r="AM167" i="55" s="1"/>
  <c r="AN167" i="55" s="1"/>
  <c r="AO167" i="55" s="1"/>
  <c r="AP167" i="55" s="1"/>
  <c r="K157" i="55"/>
  <c r="L157" i="55" s="1"/>
  <c r="K155" i="55"/>
  <c r="L155" i="55" s="1"/>
  <c r="K172" i="55"/>
  <c r="L172" i="55" s="1"/>
  <c r="M172" i="55" s="1"/>
  <c r="N172" i="55" s="1"/>
  <c r="O172" i="55" s="1"/>
  <c r="P172" i="55" s="1"/>
  <c r="Q172" i="55" s="1"/>
  <c r="R172" i="55" s="1"/>
  <c r="S172" i="55" s="1"/>
  <c r="T172" i="55" s="1"/>
  <c r="U172" i="55" s="1"/>
  <c r="V172" i="55" s="1"/>
  <c r="W172" i="55" s="1"/>
  <c r="X172" i="55" s="1"/>
  <c r="Y172" i="55" s="1"/>
  <c r="Z172" i="55" s="1"/>
  <c r="AA172" i="55" s="1"/>
  <c r="AB172" i="55" s="1"/>
  <c r="AC172" i="55" s="1"/>
  <c r="AD172" i="55" s="1"/>
  <c r="AE172" i="55" s="1"/>
  <c r="AF172" i="55" s="1"/>
  <c r="AG172" i="55" s="1"/>
  <c r="AH172" i="55" s="1"/>
  <c r="AI172" i="55" s="1"/>
  <c r="AJ172" i="55" s="1"/>
  <c r="AK172" i="55" s="1"/>
  <c r="AL172" i="55" s="1"/>
  <c r="AM172" i="55" s="1"/>
  <c r="AN172" i="55" s="1"/>
  <c r="AO172" i="55" s="1"/>
  <c r="AP172" i="55" s="1"/>
  <c r="K171" i="55"/>
  <c r="L171" i="55" s="1"/>
  <c r="M171" i="55" s="1"/>
  <c r="N171" i="55" s="1"/>
  <c r="O171" i="55" s="1"/>
  <c r="P171" i="55" s="1"/>
  <c r="Q171" i="55" s="1"/>
  <c r="R171" i="55" s="1"/>
  <c r="S171" i="55" s="1"/>
  <c r="T171" i="55" s="1"/>
  <c r="U171" i="55" s="1"/>
  <c r="V171" i="55" s="1"/>
  <c r="W171" i="55" s="1"/>
  <c r="X171" i="55" s="1"/>
  <c r="Y171" i="55" s="1"/>
  <c r="Z171" i="55" s="1"/>
  <c r="AA171" i="55" s="1"/>
  <c r="AB171" i="55" s="1"/>
  <c r="AC171" i="55" s="1"/>
  <c r="AD171" i="55" s="1"/>
  <c r="AE171" i="55" s="1"/>
  <c r="AF171" i="55" s="1"/>
  <c r="AG171" i="55" s="1"/>
  <c r="AH171" i="55" s="1"/>
  <c r="AI171" i="55" s="1"/>
  <c r="AJ171" i="55" s="1"/>
  <c r="AK171" i="55" s="1"/>
  <c r="AL171" i="55" s="1"/>
  <c r="AM171" i="55" s="1"/>
  <c r="AN171" i="55" s="1"/>
  <c r="AO171" i="55" s="1"/>
  <c r="AP171" i="55" s="1"/>
  <c r="K170" i="55"/>
  <c r="L170" i="55" s="1"/>
  <c r="M170" i="55" s="1"/>
  <c r="N170" i="55" s="1"/>
  <c r="O170" i="55" s="1"/>
  <c r="P170" i="55" s="1"/>
  <c r="Q170" i="55" s="1"/>
  <c r="R170" i="55" s="1"/>
  <c r="S170" i="55" s="1"/>
  <c r="T170" i="55" s="1"/>
  <c r="U170" i="55" s="1"/>
  <c r="V170" i="55" s="1"/>
  <c r="W170" i="55" s="1"/>
  <c r="X170" i="55" s="1"/>
  <c r="Y170" i="55" s="1"/>
  <c r="Z170" i="55" s="1"/>
  <c r="AA170" i="55" s="1"/>
  <c r="AB170" i="55" s="1"/>
  <c r="AC170" i="55" s="1"/>
  <c r="AD170" i="55" s="1"/>
  <c r="AE170" i="55" s="1"/>
  <c r="AF170" i="55" s="1"/>
  <c r="AG170" i="55" s="1"/>
  <c r="AH170" i="55" s="1"/>
  <c r="AI170" i="55" s="1"/>
  <c r="AJ170" i="55" s="1"/>
  <c r="AK170" i="55" s="1"/>
  <c r="AL170" i="55" s="1"/>
  <c r="AM170" i="55" s="1"/>
  <c r="AN170" i="55" s="1"/>
  <c r="AO170" i="55" s="1"/>
  <c r="AP170" i="55" s="1"/>
  <c r="K163" i="55"/>
  <c r="L163" i="55" s="1"/>
  <c r="K158" i="55"/>
  <c r="L158" i="55" s="1"/>
  <c r="K160" i="55"/>
  <c r="L160" i="55" s="1"/>
  <c r="K156" i="55"/>
  <c r="L156" i="55" s="1"/>
  <c r="K164" i="55"/>
  <c r="L164" i="55" s="1"/>
  <c r="M164" i="55" s="1"/>
  <c r="N164" i="55" s="1"/>
  <c r="O164" i="55" s="1"/>
  <c r="P164" i="55" s="1"/>
  <c r="Q164" i="55" s="1"/>
  <c r="R164" i="55" s="1"/>
  <c r="S164" i="55" s="1"/>
  <c r="T164" i="55" s="1"/>
  <c r="U164" i="55" s="1"/>
  <c r="V164" i="55" s="1"/>
  <c r="W164" i="55" s="1"/>
  <c r="X164" i="55" s="1"/>
  <c r="Y164" i="55" s="1"/>
  <c r="Z164" i="55" s="1"/>
  <c r="AA164" i="55" s="1"/>
  <c r="AB164" i="55" s="1"/>
  <c r="AC164" i="55" s="1"/>
  <c r="AD164" i="55" s="1"/>
  <c r="AE164" i="55" s="1"/>
  <c r="AF164" i="55" s="1"/>
  <c r="AG164" i="55" s="1"/>
  <c r="AH164" i="55" s="1"/>
  <c r="AI164" i="55" s="1"/>
  <c r="AJ164" i="55" s="1"/>
  <c r="AK164" i="55" s="1"/>
  <c r="AL164" i="55" s="1"/>
  <c r="AM164" i="55" s="1"/>
  <c r="AN164" i="55" s="1"/>
  <c r="AO164" i="55" s="1"/>
  <c r="AP164" i="55" s="1"/>
  <c r="K166" i="55"/>
  <c r="L166" i="55" s="1"/>
  <c r="M166" i="55" s="1"/>
  <c r="N166" i="55" s="1"/>
  <c r="O166" i="55" s="1"/>
  <c r="P166" i="55" s="1"/>
  <c r="Q166" i="55" s="1"/>
  <c r="R166" i="55" s="1"/>
  <c r="S166" i="55" s="1"/>
  <c r="T166" i="55" s="1"/>
  <c r="U166" i="55" s="1"/>
  <c r="V166" i="55" s="1"/>
  <c r="W166" i="55" s="1"/>
  <c r="X166" i="55" s="1"/>
  <c r="Y166" i="55" s="1"/>
  <c r="Z166" i="55" s="1"/>
  <c r="AA166" i="55" s="1"/>
  <c r="AB166" i="55" s="1"/>
  <c r="AC166" i="55" s="1"/>
  <c r="AD166" i="55" s="1"/>
  <c r="AE166" i="55" s="1"/>
  <c r="AF166" i="55" s="1"/>
  <c r="AG166" i="55" s="1"/>
  <c r="AH166" i="55" s="1"/>
  <c r="AI166" i="55" s="1"/>
  <c r="AJ166" i="55" s="1"/>
  <c r="AK166" i="55" s="1"/>
  <c r="AL166" i="55" s="1"/>
  <c r="AM166" i="55" s="1"/>
  <c r="AN166" i="55" s="1"/>
  <c r="AO166" i="55" s="1"/>
  <c r="AP166" i="55" s="1"/>
  <c r="K169" i="55"/>
  <c r="L169" i="55" s="1"/>
  <c r="M169" i="55" s="1"/>
  <c r="N169" i="55" s="1"/>
  <c r="O169" i="55" s="1"/>
  <c r="P169" i="55" s="1"/>
  <c r="Q169" i="55" s="1"/>
  <c r="R169" i="55" s="1"/>
  <c r="S169" i="55" s="1"/>
  <c r="T169" i="55" s="1"/>
  <c r="U169" i="55" s="1"/>
  <c r="V169" i="55" s="1"/>
  <c r="W169" i="55" s="1"/>
  <c r="X169" i="55" s="1"/>
  <c r="Y169" i="55" s="1"/>
  <c r="Z169" i="55" s="1"/>
  <c r="AA169" i="55" s="1"/>
  <c r="AB169" i="55" s="1"/>
  <c r="AC169" i="55" s="1"/>
  <c r="AD169" i="55" s="1"/>
  <c r="AE169" i="55" s="1"/>
  <c r="AF169" i="55" s="1"/>
  <c r="AG169" i="55" s="1"/>
  <c r="AH169" i="55" s="1"/>
  <c r="AI169" i="55" s="1"/>
  <c r="AJ169" i="55" s="1"/>
  <c r="AK169" i="55" s="1"/>
  <c r="AL169" i="55" s="1"/>
  <c r="AM169" i="55" s="1"/>
  <c r="AN169" i="55" s="1"/>
  <c r="AO169" i="55" s="1"/>
  <c r="AP169" i="55" s="1"/>
  <c r="K168" i="55"/>
  <c r="L168" i="55" s="1"/>
  <c r="M168" i="55" s="1"/>
  <c r="N168" i="55" s="1"/>
  <c r="O168" i="55" s="1"/>
  <c r="P168" i="55" s="1"/>
  <c r="Q168" i="55" s="1"/>
  <c r="R168" i="55" s="1"/>
  <c r="S168" i="55" s="1"/>
  <c r="T168" i="55" s="1"/>
  <c r="U168" i="55" s="1"/>
  <c r="V168" i="55" s="1"/>
  <c r="W168" i="55" s="1"/>
  <c r="X168" i="55" s="1"/>
  <c r="Y168" i="55" s="1"/>
  <c r="Z168" i="55" s="1"/>
  <c r="AA168" i="55" s="1"/>
  <c r="AB168" i="55" s="1"/>
  <c r="AC168" i="55" s="1"/>
  <c r="AD168" i="55" s="1"/>
  <c r="AE168" i="55" s="1"/>
  <c r="AF168" i="55" s="1"/>
  <c r="AG168" i="55" s="1"/>
  <c r="AH168" i="55" s="1"/>
  <c r="AI168" i="55" s="1"/>
  <c r="AJ168" i="55" s="1"/>
  <c r="AK168" i="55" s="1"/>
  <c r="AL168" i="55" s="1"/>
  <c r="AM168" i="55" s="1"/>
  <c r="AN168" i="55" s="1"/>
  <c r="AO168" i="55" s="1"/>
  <c r="AP168" i="55" s="1"/>
  <c r="AF173" i="55"/>
  <c r="T173" i="55"/>
  <c r="AM173" i="55"/>
  <c r="Z173" i="55"/>
  <c r="AL173" i="55"/>
  <c r="Y173" i="55"/>
  <c r="L173" i="55"/>
  <c r="AO173" i="55"/>
  <c r="X173" i="55"/>
  <c r="J173" i="55"/>
  <c r="AI173" i="55"/>
  <c r="S173" i="55"/>
  <c r="AB173" i="55"/>
  <c r="M173" i="55"/>
  <c r="AN173" i="55"/>
  <c r="R173" i="55"/>
  <c r="AJ173" i="55"/>
  <c r="P173" i="55"/>
  <c r="AG173" i="55"/>
  <c r="N173" i="55"/>
  <c r="AE173" i="55"/>
  <c r="K173" i="55"/>
  <c r="AD173" i="55"/>
  <c r="AC173" i="55"/>
  <c r="AA173" i="55"/>
  <c r="AP173" i="55"/>
  <c r="AK173" i="55"/>
  <c r="AH173" i="55"/>
  <c r="W173" i="55"/>
  <c r="V173" i="55"/>
  <c r="U173" i="55"/>
  <c r="Q173" i="55"/>
  <c r="O173" i="55"/>
  <c r="B86" i="47"/>
  <c r="B85" i="47"/>
  <c r="B84" i="47"/>
  <c r="V31" i="55" l="1"/>
  <c r="S27" i="55"/>
  <c r="U36" i="55"/>
  <c r="V28" i="55"/>
  <c r="S33" i="55"/>
  <c r="U37" i="55"/>
  <c r="Q34" i="55"/>
  <c r="T32" i="55"/>
  <c r="K187" i="55"/>
  <c r="L187" i="55" s="1"/>
  <c r="M187" i="55" s="1"/>
  <c r="N187" i="55" s="1"/>
  <c r="O187" i="55" s="1"/>
  <c r="P187" i="55" s="1"/>
  <c r="Q187" i="55" s="1"/>
  <c r="R187" i="55" s="1"/>
  <c r="S187" i="55" s="1"/>
  <c r="T187" i="55" s="1"/>
  <c r="U187" i="55" s="1"/>
  <c r="V187" i="55" s="1"/>
  <c r="W187" i="55" s="1"/>
  <c r="X187" i="55" s="1"/>
  <c r="Y187" i="55" s="1"/>
  <c r="Z187" i="55" s="1"/>
  <c r="AA187" i="55" s="1"/>
  <c r="AB187" i="55" s="1"/>
  <c r="AC187" i="55" s="1"/>
  <c r="AD187" i="55" s="1"/>
  <c r="AE187" i="55" s="1"/>
  <c r="AF187" i="55" s="1"/>
  <c r="AG187" i="55" s="1"/>
  <c r="AH187" i="55" s="1"/>
  <c r="AI187" i="55" s="1"/>
  <c r="AJ187" i="55" s="1"/>
  <c r="AK187" i="55" s="1"/>
  <c r="AL187" i="55" s="1"/>
  <c r="AM187" i="55" s="1"/>
  <c r="AN187" i="55" s="1"/>
  <c r="AO187" i="55" s="1"/>
  <c r="AP187" i="55" s="1"/>
  <c r="K188" i="55"/>
  <c r="L188" i="55" s="1"/>
  <c r="M188" i="55" s="1"/>
  <c r="N188" i="55" s="1"/>
  <c r="O188" i="55" s="1"/>
  <c r="P188" i="55" s="1"/>
  <c r="Q188" i="55" s="1"/>
  <c r="R188" i="55" s="1"/>
  <c r="S188" i="55" s="1"/>
  <c r="T188" i="55" s="1"/>
  <c r="U188" i="55" s="1"/>
  <c r="V188" i="55" s="1"/>
  <c r="W188" i="55" s="1"/>
  <c r="X188" i="55" s="1"/>
  <c r="Y188" i="55" s="1"/>
  <c r="Z188" i="55" s="1"/>
  <c r="AA188" i="55" s="1"/>
  <c r="AB188" i="55" s="1"/>
  <c r="AC188" i="55" s="1"/>
  <c r="AD188" i="55" s="1"/>
  <c r="AE188" i="55" s="1"/>
  <c r="AF188" i="55" s="1"/>
  <c r="AG188" i="55" s="1"/>
  <c r="AH188" i="55" s="1"/>
  <c r="AI188" i="55" s="1"/>
  <c r="AJ188" i="55" s="1"/>
  <c r="AK188" i="55" s="1"/>
  <c r="AL188" i="55" s="1"/>
  <c r="AM188" i="55" s="1"/>
  <c r="AN188" i="55" s="1"/>
  <c r="AO188" i="55" s="1"/>
  <c r="AP188" i="55" s="1"/>
  <c r="K176" i="55"/>
  <c r="L176" i="55" s="1"/>
  <c r="M176" i="55" s="1"/>
  <c r="N176" i="55" s="1"/>
  <c r="O176" i="55" s="1"/>
  <c r="P176" i="55" s="1"/>
  <c r="Q176" i="55" s="1"/>
  <c r="R176" i="55" s="1"/>
  <c r="S176" i="55" s="1"/>
  <c r="T176" i="55" s="1"/>
  <c r="U176" i="55" s="1"/>
  <c r="V176" i="55" s="1"/>
  <c r="W176" i="55" s="1"/>
  <c r="X176" i="55" s="1"/>
  <c r="Y176" i="55" s="1"/>
  <c r="Z176" i="55" s="1"/>
  <c r="AA176" i="55" s="1"/>
  <c r="AB176" i="55" s="1"/>
  <c r="AC176" i="55" s="1"/>
  <c r="AD176" i="55" s="1"/>
  <c r="AE176" i="55" s="1"/>
  <c r="AF176" i="55" s="1"/>
  <c r="AG176" i="55" s="1"/>
  <c r="AH176" i="55" s="1"/>
  <c r="AI176" i="55" s="1"/>
  <c r="AJ176" i="55" s="1"/>
  <c r="AK176" i="55" s="1"/>
  <c r="AL176" i="55" s="1"/>
  <c r="AM176" i="55" s="1"/>
  <c r="AN176" i="55" s="1"/>
  <c r="AO176" i="55" s="1"/>
  <c r="AP176" i="55" s="1"/>
  <c r="K182" i="55"/>
  <c r="L182" i="55" s="1"/>
  <c r="M182" i="55" s="1"/>
  <c r="N182" i="55" s="1"/>
  <c r="O182" i="55" s="1"/>
  <c r="P182" i="55" s="1"/>
  <c r="Q182" i="55" s="1"/>
  <c r="R182" i="55" s="1"/>
  <c r="S182" i="55" s="1"/>
  <c r="T182" i="55" s="1"/>
  <c r="U182" i="55" s="1"/>
  <c r="V182" i="55" s="1"/>
  <c r="W182" i="55" s="1"/>
  <c r="X182" i="55" s="1"/>
  <c r="Y182" i="55" s="1"/>
  <c r="Z182" i="55" s="1"/>
  <c r="AA182" i="55" s="1"/>
  <c r="AB182" i="55" s="1"/>
  <c r="AC182" i="55" s="1"/>
  <c r="AD182" i="55" s="1"/>
  <c r="AE182" i="55" s="1"/>
  <c r="AF182" i="55" s="1"/>
  <c r="AG182" i="55" s="1"/>
  <c r="AH182" i="55" s="1"/>
  <c r="AI182" i="55" s="1"/>
  <c r="AJ182" i="55" s="1"/>
  <c r="AK182" i="55" s="1"/>
  <c r="AL182" i="55" s="1"/>
  <c r="AM182" i="55" s="1"/>
  <c r="AN182" i="55" s="1"/>
  <c r="AO182" i="55" s="1"/>
  <c r="AP182" i="55" s="1"/>
  <c r="K179" i="55"/>
  <c r="L179" i="55" s="1"/>
  <c r="M179" i="55" s="1"/>
  <c r="N179" i="55" s="1"/>
  <c r="O179" i="55" s="1"/>
  <c r="P179" i="55" s="1"/>
  <c r="Q179" i="55" s="1"/>
  <c r="R179" i="55" s="1"/>
  <c r="S179" i="55" s="1"/>
  <c r="T179" i="55" s="1"/>
  <c r="U179" i="55" s="1"/>
  <c r="V179" i="55" s="1"/>
  <c r="W179" i="55" s="1"/>
  <c r="X179" i="55" s="1"/>
  <c r="Y179" i="55" s="1"/>
  <c r="Z179" i="55" s="1"/>
  <c r="AA179" i="55" s="1"/>
  <c r="AB179" i="55" s="1"/>
  <c r="AC179" i="55" s="1"/>
  <c r="AD179" i="55" s="1"/>
  <c r="AE179" i="55" s="1"/>
  <c r="AF179" i="55" s="1"/>
  <c r="AG179" i="55" s="1"/>
  <c r="AH179" i="55" s="1"/>
  <c r="AI179" i="55" s="1"/>
  <c r="AJ179" i="55" s="1"/>
  <c r="AK179" i="55" s="1"/>
  <c r="AL179" i="55" s="1"/>
  <c r="AM179" i="55" s="1"/>
  <c r="AN179" i="55" s="1"/>
  <c r="AO179" i="55" s="1"/>
  <c r="AP179" i="55" s="1"/>
  <c r="K189" i="55"/>
  <c r="L189" i="55" s="1"/>
  <c r="M189" i="55" s="1"/>
  <c r="N189" i="55" s="1"/>
  <c r="O189" i="55" s="1"/>
  <c r="P189" i="55" s="1"/>
  <c r="Q189" i="55" s="1"/>
  <c r="R189" i="55" s="1"/>
  <c r="S189" i="55" s="1"/>
  <c r="T189" i="55" s="1"/>
  <c r="U189" i="55" s="1"/>
  <c r="V189" i="55" s="1"/>
  <c r="W189" i="55" s="1"/>
  <c r="X189" i="55" s="1"/>
  <c r="Y189" i="55" s="1"/>
  <c r="Z189" i="55" s="1"/>
  <c r="AA189" i="55" s="1"/>
  <c r="AB189" i="55" s="1"/>
  <c r="AC189" i="55" s="1"/>
  <c r="AD189" i="55" s="1"/>
  <c r="AE189" i="55" s="1"/>
  <c r="AF189" i="55" s="1"/>
  <c r="AG189" i="55" s="1"/>
  <c r="AH189" i="55" s="1"/>
  <c r="AI189" i="55" s="1"/>
  <c r="AJ189" i="55" s="1"/>
  <c r="AK189" i="55" s="1"/>
  <c r="AL189" i="55" s="1"/>
  <c r="AM189" i="55" s="1"/>
  <c r="AN189" i="55" s="1"/>
  <c r="AO189" i="55" s="1"/>
  <c r="AP189" i="55" s="1"/>
  <c r="K181" i="55"/>
  <c r="L181" i="55" s="1"/>
  <c r="M181" i="55" s="1"/>
  <c r="N181" i="55" s="1"/>
  <c r="O181" i="55" s="1"/>
  <c r="P181" i="55" s="1"/>
  <c r="Q181" i="55" s="1"/>
  <c r="R181" i="55" s="1"/>
  <c r="S181" i="55" s="1"/>
  <c r="T181" i="55" s="1"/>
  <c r="U181" i="55" s="1"/>
  <c r="V181" i="55" s="1"/>
  <c r="W181" i="55" s="1"/>
  <c r="X181" i="55" s="1"/>
  <c r="Y181" i="55" s="1"/>
  <c r="Z181" i="55" s="1"/>
  <c r="AA181" i="55" s="1"/>
  <c r="AB181" i="55" s="1"/>
  <c r="AC181" i="55" s="1"/>
  <c r="AD181" i="55" s="1"/>
  <c r="AE181" i="55" s="1"/>
  <c r="AF181" i="55" s="1"/>
  <c r="AG181" i="55" s="1"/>
  <c r="AH181" i="55" s="1"/>
  <c r="AI181" i="55" s="1"/>
  <c r="AJ181" i="55" s="1"/>
  <c r="AK181" i="55" s="1"/>
  <c r="AL181" i="55" s="1"/>
  <c r="AM181" i="55" s="1"/>
  <c r="AN181" i="55" s="1"/>
  <c r="AO181" i="55" s="1"/>
  <c r="AP181" i="55" s="1"/>
  <c r="K184" i="55"/>
  <c r="L184" i="55" s="1"/>
  <c r="M184" i="55" s="1"/>
  <c r="N184" i="55" s="1"/>
  <c r="O184" i="55" s="1"/>
  <c r="P184" i="55" s="1"/>
  <c r="Q184" i="55" s="1"/>
  <c r="R184" i="55" s="1"/>
  <c r="S184" i="55" s="1"/>
  <c r="T184" i="55" s="1"/>
  <c r="U184" i="55" s="1"/>
  <c r="V184" i="55" s="1"/>
  <c r="W184" i="55" s="1"/>
  <c r="X184" i="55" s="1"/>
  <c r="Y184" i="55" s="1"/>
  <c r="Z184" i="55" s="1"/>
  <c r="AA184" i="55" s="1"/>
  <c r="AB184" i="55" s="1"/>
  <c r="AC184" i="55" s="1"/>
  <c r="AD184" i="55" s="1"/>
  <c r="AE184" i="55" s="1"/>
  <c r="AF184" i="55" s="1"/>
  <c r="AG184" i="55" s="1"/>
  <c r="AH184" i="55" s="1"/>
  <c r="AI184" i="55" s="1"/>
  <c r="AJ184" i="55" s="1"/>
  <c r="AK184" i="55" s="1"/>
  <c r="AL184" i="55" s="1"/>
  <c r="AM184" i="55" s="1"/>
  <c r="AN184" i="55" s="1"/>
  <c r="AO184" i="55" s="1"/>
  <c r="AP184" i="55" s="1"/>
  <c r="K186" i="55"/>
  <c r="L186" i="55" s="1"/>
  <c r="M186" i="55" s="1"/>
  <c r="N186" i="55" s="1"/>
  <c r="O186" i="55" s="1"/>
  <c r="P186" i="55" s="1"/>
  <c r="Q186" i="55" s="1"/>
  <c r="R186" i="55" s="1"/>
  <c r="S186" i="55" s="1"/>
  <c r="T186" i="55" s="1"/>
  <c r="U186" i="55" s="1"/>
  <c r="V186" i="55" s="1"/>
  <c r="W186" i="55" s="1"/>
  <c r="X186" i="55" s="1"/>
  <c r="Y186" i="55" s="1"/>
  <c r="Z186" i="55" s="1"/>
  <c r="AA186" i="55" s="1"/>
  <c r="AB186" i="55" s="1"/>
  <c r="AC186" i="55" s="1"/>
  <c r="AD186" i="55" s="1"/>
  <c r="AE186" i="55" s="1"/>
  <c r="AF186" i="55" s="1"/>
  <c r="AG186" i="55" s="1"/>
  <c r="AH186" i="55" s="1"/>
  <c r="AI186" i="55" s="1"/>
  <c r="AJ186" i="55" s="1"/>
  <c r="AK186" i="55" s="1"/>
  <c r="AL186" i="55" s="1"/>
  <c r="AM186" i="55" s="1"/>
  <c r="AN186" i="55" s="1"/>
  <c r="AO186" i="55" s="1"/>
  <c r="AP186" i="55" s="1"/>
  <c r="K183" i="55"/>
  <c r="L183" i="55" s="1"/>
  <c r="M183" i="55" s="1"/>
  <c r="N183" i="55" s="1"/>
  <c r="O183" i="55" s="1"/>
  <c r="P183" i="55" s="1"/>
  <c r="Q183" i="55" s="1"/>
  <c r="R183" i="55" s="1"/>
  <c r="S183" i="55" s="1"/>
  <c r="T183" i="55" s="1"/>
  <c r="U183" i="55" s="1"/>
  <c r="V183" i="55" s="1"/>
  <c r="W183" i="55" s="1"/>
  <c r="X183" i="55" s="1"/>
  <c r="Y183" i="55" s="1"/>
  <c r="Z183" i="55" s="1"/>
  <c r="AA183" i="55" s="1"/>
  <c r="AB183" i="55" s="1"/>
  <c r="AC183" i="55" s="1"/>
  <c r="AD183" i="55" s="1"/>
  <c r="AE183" i="55" s="1"/>
  <c r="AF183" i="55" s="1"/>
  <c r="AG183" i="55" s="1"/>
  <c r="AH183" i="55" s="1"/>
  <c r="AI183" i="55" s="1"/>
  <c r="AJ183" i="55" s="1"/>
  <c r="AK183" i="55" s="1"/>
  <c r="AL183" i="55" s="1"/>
  <c r="AM183" i="55" s="1"/>
  <c r="AN183" i="55" s="1"/>
  <c r="AO183" i="55" s="1"/>
  <c r="AP183" i="55" s="1"/>
  <c r="K177" i="55"/>
  <c r="L177" i="55" s="1"/>
  <c r="M177" i="55" s="1"/>
  <c r="N177" i="55" s="1"/>
  <c r="O177" i="55" s="1"/>
  <c r="P177" i="55" s="1"/>
  <c r="Q177" i="55" s="1"/>
  <c r="R177" i="55" s="1"/>
  <c r="S177" i="55" s="1"/>
  <c r="T177" i="55" s="1"/>
  <c r="U177" i="55" s="1"/>
  <c r="V177" i="55" s="1"/>
  <c r="W177" i="55" s="1"/>
  <c r="X177" i="55" s="1"/>
  <c r="Y177" i="55" s="1"/>
  <c r="Z177" i="55" s="1"/>
  <c r="AA177" i="55" s="1"/>
  <c r="AB177" i="55" s="1"/>
  <c r="AC177" i="55" s="1"/>
  <c r="AD177" i="55" s="1"/>
  <c r="AE177" i="55" s="1"/>
  <c r="AF177" i="55" s="1"/>
  <c r="AG177" i="55" s="1"/>
  <c r="AH177" i="55" s="1"/>
  <c r="AI177" i="55" s="1"/>
  <c r="AJ177" i="55" s="1"/>
  <c r="AK177" i="55" s="1"/>
  <c r="AL177" i="55" s="1"/>
  <c r="AM177" i="55" s="1"/>
  <c r="AN177" i="55" s="1"/>
  <c r="AO177" i="55" s="1"/>
  <c r="AP177" i="55" s="1"/>
  <c r="K180" i="55"/>
  <c r="L180" i="55" s="1"/>
  <c r="M180" i="55" s="1"/>
  <c r="N180" i="55" s="1"/>
  <c r="O180" i="55" s="1"/>
  <c r="P180" i="55" s="1"/>
  <c r="Q180" i="55" s="1"/>
  <c r="R180" i="55" s="1"/>
  <c r="S180" i="55" s="1"/>
  <c r="T180" i="55" s="1"/>
  <c r="U180" i="55" s="1"/>
  <c r="V180" i="55" s="1"/>
  <c r="W180" i="55" s="1"/>
  <c r="X180" i="55" s="1"/>
  <c r="Y180" i="55" s="1"/>
  <c r="Z180" i="55" s="1"/>
  <c r="AA180" i="55" s="1"/>
  <c r="AB180" i="55" s="1"/>
  <c r="AC180" i="55" s="1"/>
  <c r="AD180" i="55" s="1"/>
  <c r="AE180" i="55" s="1"/>
  <c r="AF180" i="55" s="1"/>
  <c r="AG180" i="55" s="1"/>
  <c r="AH180" i="55" s="1"/>
  <c r="AI180" i="55" s="1"/>
  <c r="AJ180" i="55" s="1"/>
  <c r="AK180" i="55" s="1"/>
  <c r="AL180" i="55" s="1"/>
  <c r="AM180" i="55" s="1"/>
  <c r="AN180" i="55" s="1"/>
  <c r="AO180" i="55" s="1"/>
  <c r="AP180" i="55" s="1"/>
  <c r="K174" i="55"/>
  <c r="L174" i="55" s="1"/>
  <c r="M174" i="55" s="1"/>
  <c r="N174" i="55" s="1"/>
  <c r="O174" i="55" s="1"/>
  <c r="P174" i="55" s="1"/>
  <c r="Q174" i="55" s="1"/>
  <c r="R174" i="55" s="1"/>
  <c r="S174" i="55" s="1"/>
  <c r="T174" i="55" s="1"/>
  <c r="U174" i="55" s="1"/>
  <c r="V174" i="55" s="1"/>
  <c r="W174" i="55" s="1"/>
  <c r="X174" i="55" s="1"/>
  <c r="Y174" i="55" s="1"/>
  <c r="Z174" i="55" s="1"/>
  <c r="AA174" i="55" s="1"/>
  <c r="AB174" i="55" s="1"/>
  <c r="AC174" i="55" s="1"/>
  <c r="AD174" i="55" s="1"/>
  <c r="AE174" i="55" s="1"/>
  <c r="AF174" i="55" s="1"/>
  <c r="AG174" i="55" s="1"/>
  <c r="AH174" i="55" s="1"/>
  <c r="AI174" i="55" s="1"/>
  <c r="AJ174" i="55" s="1"/>
  <c r="AK174" i="55" s="1"/>
  <c r="AL174" i="55" s="1"/>
  <c r="AM174" i="55" s="1"/>
  <c r="AN174" i="55" s="1"/>
  <c r="AO174" i="55" s="1"/>
  <c r="AP174" i="55" s="1"/>
  <c r="K185" i="55"/>
  <c r="L185" i="55" s="1"/>
  <c r="M185" i="55" s="1"/>
  <c r="N185" i="55" s="1"/>
  <c r="O185" i="55" s="1"/>
  <c r="P185" i="55" s="1"/>
  <c r="Q185" i="55" s="1"/>
  <c r="R185" i="55" s="1"/>
  <c r="S185" i="55" s="1"/>
  <c r="T185" i="55" s="1"/>
  <c r="U185" i="55" s="1"/>
  <c r="V185" i="55" s="1"/>
  <c r="W185" i="55" s="1"/>
  <c r="X185" i="55" s="1"/>
  <c r="Y185" i="55" s="1"/>
  <c r="Z185" i="55" s="1"/>
  <c r="AA185" i="55" s="1"/>
  <c r="AB185" i="55" s="1"/>
  <c r="AC185" i="55" s="1"/>
  <c r="AD185" i="55" s="1"/>
  <c r="AE185" i="55" s="1"/>
  <c r="AF185" i="55" s="1"/>
  <c r="AG185" i="55" s="1"/>
  <c r="AH185" i="55" s="1"/>
  <c r="AI185" i="55" s="1"/>
  <c r="AJ185" i="55" s="1"/>
  <c r="AK185" i="55" s="1"/>
  <c r="AL185" i="55" s="1"/>
  <c r="AM185" i="55" s="1"/>
  <c r="AN185" i="55" s="1"/>
  <c r="AO185" i="55" s="1"/>
  <c r="AP185" i="55" s="1"/>
  <c r="K175" i="55"/>
  <c r="L175" i="55" s="1"/>
  <c r="M175" i="55" s="1"/>
  <c r="N175" i="55" s="1"/>
  <c r="O175" i="55" s="1"/>
  <c r="P175" i="55" s="1"/>
  <c r="Q175" i="55" s="1"/>
  <c r="R175" i="55" s="1"/>
  <c r="S175" i="55" s="1"/>
  <c r="T175" i="55" s="1"/>
  <c r="U175" i="55" s="1"/>
  <c r="V175" i="55" s="1"/>
  <c r="W175" i="55" s="1"/>
  <c r="X175" i="55" s="1"/>
  <c r="Y175" i="55" s="1"/>
  <c r="Z175" i="55" s="1"/>
  <c r="AA175" i="55" s="1"/>
  <c r="AB175" i="55" s="1"/>
  <c r="AC175" i="55" s="1"/>
  <c r="AD175" i="55" s="1"/>
  <c r="AE175" i="55" s="1"/>
  <c r="AF175" i="55" s="1"/>
  <c r="AG175" i="55" s="1"/>
  <c r="AH175" i="55" s="1"/>
  <c r="AI175" i="55" s="1"/>
  <c r="AJ175" i="55" s="1"/>
  <c r="AK175" i="55" s="1"/>
  <c r="AL175" i="55" s="1"/>
  <c r="AM175" i="55" s="1"/>
  <c r="AN175" i="55" s="1"/>
  <c r="AO175" i="55" s="1"/>
  <c r="AP175" i="55" s="1"/>
  <c r="K178" i="55"/>
  <c r="L178" i="55" s="1"/>
  <c r="M178" i="55" s="1"/>
  <c r="N178" i="55" s="1"/>
  <c r="O178" i="55" s="1"/>
  <c r="P178" i="55" s="1"/>
  <c r="Q178" i="55" s="1"/>
  <c r="R178" i="55" s="1"/>
  <c r="S178" i="55" s="1"/>
  <c r="T178" i="55" s="1"/>
  <c r="U178" i="55" s="1"/>
  <c r="V178" i="55" s="1"/>
  <c r="W178" i="55" s="1"/>
  <c r="X178" i="55" s="1"/>
  <c r="Y178" i="55" s="1"/>
  <c r="Z178" i="55" s="1"/>
  <c r="AA178" i="55" s="1"/>
  <c r="AB178" i="55" s="1"/>
  <c r="AC178" i="55" s="1"/>
  <c r="AD178" i="55" s="1"/>
  <c r="AE178" i="55" s="1"/>
  <c r="AF178" i="55" s="1"/>
  <c r="AG178" i="55" s="1"/>
  <c r="AH178" i="55" s="1"/>
  <c r="AI178" i="55" s="1"/>
  <c r="AJ178" i="55" s="1"/>
  <c r="AK178" i="55" s="1"/>
  <c r="AL178" i="55" s="1"/>
  <c r="AM178" i="55" s="1"/>
  <c r="AN178" i="55" s="1"/>
  <c r="AO178" i="55" s="1"/>
  <c r="AP178" i="55" s="1"/>
  <c r="E36" i="29"/>
  <c r="R34" i="55" l="1"/>
  <c r="W31" i="55"/>
  <c r="V37" i="55"/>
  <c r="T33" i="55"/>
  <c r="W28" i="55"/>
  <c r="V36" i="55"/>
  <c r="U32" i="55"/>
  <c r="T27" i="55"/>
  <c r="E24" i="29"/>
  <c r="F84" i="47"/>
  <c r="F85" i="47"/>
  <c r="S34" i="55" l="1"/>
  <c r="W36" i="55"/>
  <c r="X28" i="55"/>
  <c r="U33" i="55"/>
  <c r="W37" i="55"/>
  <c r="V32" i="55"/>
  <c r="U27" i="55"/>
  <c r="X31" i="55"/>
  <c r="A37" i="37"/>
  <c r="V33" i="55" l="1"/>
  <c r="Y28" i="55"/>
  <c r="X37" i="55"/>
  <c r="V27" i="55"/>
  <c r="X36" i="55"/>
  <c r="W32" i="55"/>
  <c r="Y31" i="55"/>
  <c r="T34" i="55"/>
  <c r="E10" i="29"/>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X32" i="55" l="1"/>
  <c r="W33" i="55"/>
  <c r="Y36" i="55"/>
  <c r="Z31" i="55"/>
  <c r="Y37" i="55"/>
  <c r="U34" i="55"/>
  <c r="Z28" i="55"/>
  <c r="W27" i="55"/>
  <c r="L10" i="29"/>
  <c r="M10" i="29"/>
  <c r="N10" i="29" s="1"/>
  <c r="O10" i="29" s="1"/>
  <c r="P10" i="29" s="1"/>
  <c r="X27" i="55" l="1"/>
  <c r="Y32" i="55"/>
  <c r="Z37" i="55"/>
  <c r="X33" i="55"/>
  <c r="V34" i="55"/>
  <c r="AA28" i="55"/>
  <c r="AA31" i="55"/>
  <c r="Z36" i="55"/>
  <c r="J23" i="29"/>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AB31" i="55" l="1"/>
  <c r="Z32" i="55"/>
  <c r="Y27" i="55"/>
  <c r="AB28" i="55"/>
  <c r="W34" i="55"/>
  <c r="Y33" i="55"/>
  <c r="AA37" i="55"/>
  <c r="AA36" i="55"/>
  <c r="E84" i="47"/>
  <c r="E85" i="47"/>
  <c r="D25" i="44"/>
  <c r="E25" i="44"/>
  <c r="F25" i="44"/>
  <c r="G25" i="44"/>
  <c r="H25" i="44"/>
  <c r="I25" i="44"/>
  <c r="J25" i="44"/>
  <c r="D26" i="44"/>
  <c r="E26" i="44"/>
  <c r="F26" i="44"/>
  <c r="G26" i="44"/>
  <c r="H26" i="44"/>
  <c r="I26" i="44"/>
  <c r="J26" i="44"/>
  <c r="C26" i="44"/>
  <c r="C25" i="44"/>
  <c r="AB37" i="55" l="1"/>
  <c r="AC31" i="55"/>
  <c r="X34" i="55"/>
  <c r="AC28" i="55"/>
  <c r="Z27" i="55"/>
  <c r="Z33" i="55"/>
  <c r="AB36" i="55"/>
  <c r="AA32" i="55"/>
  <c r="K26" i="44"/>
  <c r="H17" i="44"/>
  <c r="AA27" i="55" l="1"/>
  <c r="AA33" i="55"/>
  <c r="AD28" i="55"/>
  <c r="Y34" i="55"/>
  <c r="AB32" i="55"/>
  <c r="AD31" i="55"/>
  <c r="AC36" i="55"/>
  <c r="AC37" i="55"/>
  <c r="B31" i="44"/>
  <c r="C31" i="44" s="1"/>
  <c r="D31" i="44" s="1"/>
  <c r="E31" i="44" s="1"/>
  <c r="F31" i="44" s="1"/>
  <c r="G31" i="44" s="1"/>
  <c r="H31" i="44" s="1"/>
  <c r="I31" i="44" s="1"/>
  <c r="J31" i="44" s="1"/>
  <c r="AC32" i="55" l="1"/>
  <c r="Z34" i="55"/>
  <c r="AE28" i="55"/>
  <c r="AD36" i="55"/>
  <c r="AD37" i="55"/>
  <c r="AB33" i="55"/>
  <c r="AB27" i="55"/>
  <c r="AE31" i="55"/>
  <c r="K31" i="44"/>
  <c r="J30" i="44"/>
  <c r="J32" i="44" s="1"/>
  <c r="I30" i="44"/>
  <c r="I32" i="44" s="1"/>
  <c r="H30" i="44"/>
  <c r="H32" i="44" s="1"/>
  <c r="G30" i="44"/>
  <c r="G32" i="44" s="1"/>
  <c r="F30" i="44"/>
  <c r="F32" i="44" s="1"/>
  <c r="E30" i="44"/>
  <c r="E32" i="44" s="1"/>
  <c r="D30" i="44"/>
  <c r="AF31" i="55" l="1"/>
  <c r="AD32" i="55"/>
  <c r="AE37" i="55"/>
  <c r="AE36" i="55"/>
  <c r="AC33" i="55"/>
  <c r="AA34" i="55"/>
  <c r="AC27" i="55"/>
  <c r="AF28" i="55"/>
  <c r="K30" i="44"/>
  <c r="K32" i="44" s="1"/>
  <c r="D32" i="44"/>
  <c r="AN44" i="29"/>
  <c r="AN43" i="29"/>
  <c r="AG28" i="55" l="1"/>
  <c r="AE32" i="55"/>
  <c r="AD27" i="55"/>
  <c r="AF36" i="55"/>
  <c r="AG31" i="55"/>
  <c r="AB34" i="55"/>
  <c r="AD33" i="55"/>
  <c r="AF37" i="55"/>
  <c r="A6" i="44"/>
  <c r="A44" i="44" s="1"/>
  <c r="A7" i="44"/>
  <c r="A45" i="44" s="1"/>
  <c r="A8" i="44"/>
  <c r="A46" i="44" s="1"/>
  <c r="A21" i="44"/>
  <c r="A59" i="44" s="1"/>
  <c r="B21" i="44"/>
  <c r="S21" i="44" s="1"/>
  <c r="C21" i="44"/>
  <c r="D21" i="44"/>
  <c r="E21" i="44"/>
  <c r="V21" i="44" s="1"/>
  <c r="F21" i="44"/>
  <c r="W21" i="44" s="1"/>
  <c r="G21" i="44"/>
  <c r="H21" i="44"/>
  <c r="Y21" i="44" s="1"/>
  <c r="I21" i="44"/>
  <c r="Z21" i="44" s="1"/>
  <c r="J21" i="44"/>
  <c r="A18" i="44"/>
  <c r="A56" i="44" s="1"/>
  <c r="B18" i="44"/>
  <c r="S18" i="44" s="1"/>
  <c r="C18" i="44"/>
  <c r="T18" i="44" s="1"/>
  <c r="D18" i="44"/>
  <c r="U18" i="44" s="1"/>
  <c r="E18" i="44"/>
  <c r="V18" i="44" s="1"/>
  <c r="F18" i="44"/>
  <c r="W18" i="44" s="1"/>
  <c r="G18" i="44"/>
  <c r="X18" i="44" s="1"/>
  <c r="H18" i="44"/>
  <c r="Y18" i="44" s="1"/>
  <c r="I18" i="44"/>
  <c r="Z18" i="44" s="1"/>
  <c r="J18" i="44"/>
  <c r="AA18" i="44" s="1"/>
  <c r="A19" i="44"/>
  <c r="A57" i="44" s="1"/>
  <c r="B19" i="44"/>
  <c r="S19" i="44" s="1"/>
  <c r="C19" i="44"/>
  <c r="D19" i="44"/>
  <c r="U19" i="44" s="1"/>
  <c r="E19" i="44"/>
  <c r="V19" i="44" s="1"/>
  <c r="F19" i="44"/>
  <c r="W19" i="44" s="1"/>
  <c r="G19" i="44"/>
  <c r="X19" i="44" s="1"/>
  <c r="H19" i="44"/>
  <c r="Y19" i="44" s="1"/>
  <c r="I19" i="44"/>
  <c r="J19" i="44"/>
  <c r="AA19" i="44" s="1"/>
  <c r="A20" i="44"/>
  <c r="A58" i="44" s="1"/>
  <c r="B20" i="44"/>
  <c r="C20" i="44"/>
  <c r="D20" i="44"/>
  <c r="E20" i="44"/>
  <c r="F20" i="44"/>
  <c r="G20" i="44"/>
  <c r="H20" i="44"/>
  <c r="I20" i="44"/>
  <c r="J20" i="44"/>
  <c r="A17" i="44"/>
  <c r="A55" i="44" s="1"/>
  <c r="I51" i="29"/>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E44" i="29"/>
  <c r="D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B17" i="44"/>
  <c r="S17" i="44" s="1"/>
  <c r="C17" i="44"/>
  <c r="T17" i="44" s="1"/>
  <c r="D17" i="44"/>
  <c r="U17" i="44" s="1"/>
  <c r="E17" i="44"/>
  <c r="V17" i="44" s="1"/>
  <c r="F17" i="44"/>
  <c r="W17" i="44" s="1"/>
  <c r="G17" i="44"/>
  <c r="X17" i="44" s="1"/>
  <c r="Y17" i="44"/>
  <c r="I17" i="44"/>
  <c r="Z17" i="44" s="1"/>
  <c r="J17" i="44"/>
  <c r="AA17" i="44" s="1"/>
  <c r="C7" i="44"/>
  <c r="T7" i="44" s="1"/>
  <c r="D7" i="44"/>
  <c r="U7" i="44" s="1"/>
  <c r="E7" i="44"/>
  <c r="V7" i="44" s="1"/>
  <c r="C8" i="44"/>
  <c r="T8" i="44" s="1"/>
  <c r="D8" i="44"/>
  <c r="E8" i="44"/>
  <c r="C9" i="44"/>
  <c r="D9" i="44"/>
  <c r="U9" i="44" s="1"/>
  <c r="E9" i="44"/>
  <c r="V9" i="44" s="1"/>
  <c r="C10" i="44"/>
  <c r="D10" i="44"/>
  <c r="E10" i="44"/>
  <c r="C11" i="44"/>
  <c r="T11" i="44" s="1"/>
  <c r="D11" i="44"/>
  <c r="U11" i="44" s="1"/>
  <c r="E11" i="44"/>
  <c r="V11" i="44" s="1"/>
  <c r="C12" i="44"/>
  <c r="T12" i="44" s="1"/>
  <c r="D12" i="44"/>
  <c r="U12" i="44" s="1"/>
  <c r="E12" i="44"/>
  <c r="C13" i="44"/>
  <c r="T13" i="44" s="1"/>
  <c r="D13" i="44"/>
  <c r="U13" i="44" s="1"/>
  <c r="E13" i="44"/>
  <c r="V13" i="44" s="1"/>
  <c r="C14" i="44"/>
  <c r="T14" i="44" s="1"/>
  <c r="D14" i="44"/>
  <c r="E14" i="44"/>
  <c r="C15" i="44"/>
  <c r="T15" i="44" s="1"/>
  <c r="D15" i="44"/>
  <c r="U15" i="44" s="1"/>
  <c r="E15" i="44"/>
  <c r="V15" i="44" s="1"/>
  <c r="C16" i="44"/>
  <c r="T16" i="44" s="1"/>
  <c r="D16" i="44"/>
  <c r="E16" i="44"/>
  <c r="D6" i="44"/>
  <c r="E6" i="44"/>
  <c r="V6" i="44" s="1"/>
  <c r="C6" i="44"/>
  <c r="T6" i="44" s="1"/>
  <c r="F14" i="44"/>
  <c r="W14" i="44" s="1"/>
  <c r="G14" i="44"/>
  <c r="X14" i="44" s="1"/>
  <c r="H14" i="44"/>
  <c r="F10" i="44"/>
  <c r="W10" i="44" s="1"/>
  <c r="G10" i="44"/>
  <c r="X10" i="44" s="1"/>
  <c r="H10" i="44"/>
  <c r="Y10" i="44" s="1"/>
  <c r="I10" i="44"/>
  <c r="Z10" i="44" s="1"/>
  <c r="J10" i="44"/>
  <c r="AA10" i="44" s="1"/>
  <c r="F13" i="44"/>
  <c r="G13" i="44"/>
  <c r="F6" i="44"/>
  <c r="W6" i="44" s="1"/>
  <c r="G6" i="44"/>
  <c r="X6" i="44" s="1"/>
  <c r="F9" i="44"/>
  <c r="F16" i="44"/>
  <c r="F12" i="44"/>
  <c r="W12" i="44" s="1"/>
  <c r="F8" i="44"/>
  <c r="W8" i="44" s="1"/>
  <c r="F15" i="44"/>
  <c r="W15" i="44" s="1"/>
  <c r="F11" i="44"/>
  <c r="W11" i="44" s="1"/>
  <c r="F7" i="44"/>
  <c r="W7" i="44" s="1"/>
  <c r="I14" i="44"/>
  <c r="Z14" i="44" s="1"/>
  <c r="J14" i="44"/>
  <c r="H13" i="44"/>
  <c r="Y13" i="44" s="1"/>
  <c r="I13" i="44"/>
  <c r="G11" i="44"/>
  <c r="X11" i="44" s="1"/>
  <c r="H11" i="44"/>
  <c r="G15" i="44"/>
  <c r="X15" i="44" s="1"/>
  <c r="H15" i="44"/>
  <c r="Y15" i="44" s="1"/>
  <c r="G12" i="44"/>
  <c r="X12" i="44" s="1"/>
  <c r="H12" i="44"/>
  <c r="Y12" i="44" s="1"/>
  <c r="G9" i="44"/>
  <c r="H9" i="44"/>
  <c r="Y9" i="44" s="1"/>
  <c r="G8" i="44"/>
  <c r="X8" i="44" s="1"/>
  <c r="H8" i="44"/>
  <c r="H6" i="44"/>
  <c r="Y6" i="44" s="1"/>
  <c r="G16" i="44"/>
  <c r="X16" i="44" s="1"/>
  <c r="H16" i="44"/>
  <c r="Y16" i="44" s="1"/>
  <c r="G7" i="44"/>
  <c r="X7" i="44" s="1"/>
  <c r="H7" i="44"/>
  <c r="J13" i="44"/>
  <c r="AA13" i="44" s="1"/>
  <c r="I12" i="44"/>
  <c r="J12" i="44"/>
  <c r="AA12" i="44" s="1"/>
  <c r="I8" i="44"/>
  <c r="Z8" i="44" s="1"/>
  <c r="J8" i="44"/>
  <c r="AA8" i="44" s="1"/>
  <c r="I9" i="44"/>
  <c r="Z9" i="44" s="1"/>
  <c r="J9" i="44"/>
  <c r="I16" i="44"/>
  <c r="Z16" i="44" s="1"/>
  <c r="J16" i="44"/>
  <c r="I15" i="44"/>
  <c r="Z15" i="44" s="1"/>
  <c r="J15" i="44"/>
  <c r="I7" i="44"/>
  <c r="I6" i="44"/>
  <c r="J6" i="44"/>
  <c r="AA6" i="44" s="1"/>
  <c r="I11" i="44"/>
  <c r="J11" i="44"/>
  <c r="J7" i="44"/>
  <c r="AA7" i="44" s="1"/>
  <c r="AB76" i="32"/>
  <c r="AC76" i="32" s="1"/>
  <c r="AD76" i="32" s="1"/>
  <c r="AE76" i="32" s="1"/>
  <c r="AF76" i="32" s="1"/>
  <c r="AG76" i="32" s="1"/>
  <c r="AH76" i="32" s="1"/>
  <c r="AI76" i="32" s="1"/>
  <c r="AJ76" i="32" s="1"/>
  <c r="AK76" i="32" s="1"/>
  <c r="AL76" i="32" s="1"/>
  <c r="AM76" i="32" s="1"/>
  <c r="AN76" i="32" s="1"/>
  <c r="AO76" i="32" s="1"/>
  <c r="AP76" i="32" s="1"/>
  <c r="AB75" i="32"/>
  <c r="AC75" i="32" s="1"/>
  <c r="AD75" i="32" s="1"/>
  <c r="AE75" i="32" s="1"/>
  <c r="AF75" i="32" s="1"/>
  <c r="AG75" i="32" s="1"/>
  <c r="AH75" i="32" s="1"/>
  <c r="AI75" i="32" s="1"/>
  <c r="AJ75" i="32" s="1"/>
  <c r="AK75" i="32" s="1"/>
  <c r="AL75" i="32" s="1"/>
  <c r="AM75" i="32" s="1"/>
  <c r="AN75" i="32" s="1"/>
  <c r="AO75" i="32" s="1"/>
  <c r="AP75" i="32" s="1"/>
  <c r="K73" i="32"/>
  <c r="K80" i="32" s="1"/>
  <c r="AZ75" i="53"/>
  <c r="I91" i="53"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135" i="32"/>
  <c r="B135" i="32"/>
  <c r="C135" i="32"/>
  <c r="D135" i="32"/>
  <c r="A136" i="32"/>
  <c r="B136" i="32"/>
  <c r="C136" i="32"/>
  <c r="D136" i="32"/>
  <c r="C63" i="44"/>
  <c r="B30" i="44"/>
  <c r="C30" i="44" s="1"/>
  <c r="C32" i="44" s="1"/>
  <c r="C36" i="44"/>
  <c r="D36" i="44"/>
  <c r="E36" i="44"/>
  <c r="F36" i="44"/>
  <c r="G36" i="44"/>
  <c r="H36" i="44"/>
  <c r="H37" i="44" s="1"/>
  <c r="I36" i="44"/>
  <c r="J36" i="44"/>
  <c r="B36" i="44"/>
  <c r="E43" i="32"/>
  <c r="F43" i="32"/>
  <c r="J3" i="53"/>
  <c r="K25" i="44"/>
  <c r="K72" i="44" s="1"/>
  <c r="K29" i="44"/>
  <c r="B26" i="44"/>
  <c r="J21" i="32"/>
  <c r="J45" i="32" s="1"/>
  <c r="E45" i="32" s="1"/>
  <c r="C20" i="39"/>
  <c r="C21" i="39"/>
  <c r="C22" i="39"/>
  <c r="C23" i="39"/>
  <c r="C24" i="39"/>
  <c r="C25" i="39"/>
  <c r="C26" i="39"/>
  <c r="C27" i="39"/>
  <c r="C19" i="39"/>
  <c r="C10" i="39"/>
  <c r="C11" i="39"/>
  <c r="C12" i="39"/>
  <c r="C13" i="39"/>
  <c r="C14" i="39"/>
  <c r="C15" i="39"/>
  <c r="C16" i="39"/>
  <c r="C17" i="39"/>
  <c r="C9" i="39"/>
  <c r="B98" i="53"/>
  <c r="B157" i="53" s="1"/>
  <c r="B99" i="53"/>
  <c r="B158" i="53" s="1"/>
  <c r="B100" i="53"/>
  <c r="B159" i="53"/>
  <c r="B93" i="53"/>
  <c r="B152" i="53" s="1"/>
  <c r="B94" i="53"/>
  <c r="B153" i="53" s="1"/>
  <c r="B95" i="53"/>
  <c r="B154" i="53" s="1"/>
  <c r="B96" i="53"/>
  <c r="B155" i="53"/>
  <c r="B97" i="53"/>
  <c r="B156" i="53" s="1"/>
  <c r="B92" i="53"/>
  <c r="B151" i="53" s="1"/>
  <c r="M118" i="53"/>
  <c r="B175" i="53"/>
  <c r="B176" i="53"/>
  <c r="D260" i="53" s="1"/>
  <c r="B177" i="53"/>
  <c r="B178" i="53"/>
  <c r="B179" i="53"/>
  <c r="B191" i="53" s="1"/>
  <c r="B202" i="53" s="1"/>
  <c r="B180" i="53"/>
  <c r="B192" i="53" s="1"/>
  <c r="B203" i="53" s="1"/>
  <c r="B181" i="53"/>
  <c r="B193" i="53" s="1"/>
  <c r="B182" i="53"/>
  <c r="B174" i="53"/>
  <c r="D258" i="53" s="1"/>
  <c r="L116" i="53"/>
  <c r="M116" i="53"/>
  <c r="N116" i="53"/>
  <c r="O116" i="53"/>
  <c r="P116" i="53"/>
  <c r="Q116" i="53"/>
  <c r="R116" i="53"/>
  <c r="S116" i="53"/>
  <c r="T116" i="53"/>
  <c r="U116" i="53"/>
  <c r="V116" i="53"/>
  <c r="W116" i="53"/>
  <c r="X116" i="53"/>
  <c r="Y116" i="53"/>
  <c r="Z116" i="53"/>
  <c r="AA116" i="53"/>
  <c r="AB116" i="53"/>
  <c r="AC116" i="53"/>
  <c r="AD116" i="53"/>
  <c r="AE116" i="53"/>
  <c r="AE127" i="53" s="1"/>
  <c r="AF116" i="53"/>
  <c r="AG116" i="53"/>
  <c r="AH116" i="53"/>
  <c r="AI116" i="53"/>
  <c r="AJ116" i="53"/>
  <c r="AK116" i="53"/>
  <c r="AL116" i="53"/>
  <c r="AM116" i="53"/>
  <c r="AN116" i="53"/>
  <c r="AO116" i="53"/>
  <c r="AO127" i="53" s="1"/>
  <c r="AP116" i="53"/>
  <c r="AQ116" i="53"/>
  <c r="AR116" i="53"/>
  <c r="AR127" i="53" s="1"/>
  <c r="AS116" i="53"/>
  <c r="AT116" i="53"/>
  <c r="AU116" i="53"/>
  <c r="AV116" i="53"/>
  <c r="L117" i="53"/>
  <c r="M117" i="53"/>
  <c r="N117" i="53"/>
  <c r="O117" i="53"/>
  <c r="P117" i="53"/>
  <c r="Q117" i="53"/>
  <c r="R117" i="53"/>
  <c r="R128" i="53" s="1"/>
  <c r="S117" i="53"/>
  <c r="T117" i="53"/>
  <c r="U117" i="53"/>
  <c r="V117" i="53"/>
  <c r="W117" i="53"/>
  <c r="X117" i="53"/>
  <c r="Y117" i="53"/>
  <c r="Z117" i="53"/>
  <c r="AA117" i="53"/>
  <c r="AB117" i="53"/>
  <c r="AC117" i="53"/>
  <c r="AC128" i="53" s="1"/>
  <c r="AD117" i="53"/>
  <c r="AE117" i="53"/>
  <c r="AE128" i="53" s="1"/>
  <c r="AF117" i="53"/>
  <c r="AG117" i="53"/>
  <c r="AH117" i="53"/>
  <c r="AI117" i="53"/>
  <c r="AJ117" i="53"/>
  <c r="AK117" i="53"/>
  <c r="AL117" i="53"/>
  <c r="AM117" i="53"/>
  <c r="AN117" i="53"/>
  <c r="AN128" i="53" s="1"/>
  <c r="AO117" i="53"/>
  <c r="AP117" i="53"/>
  <c r="AP128" i="53" s="1"/>
  <c r="AQ117" i="53"/>
  <c r="AR117" i="53"/>
  <c r="AS117" i="53"/>
  <c r="AT117" i="53"/>
  <c r="AU117" i="53"/>
  <c r="AV117" i="53"/>
  <c r="L118" i="53"/>
  <c r="N118" i="53"/>
  <c r="O118" i="53"/>
  <c r="P118" i="53"/>
  <c r="Q118" i="53"/>
  <c r="R118" i="53"/>
  <c r="S118" i="53"/>
  <c r="T118" i="53"/>
  <c r="U118" i="53"/>
  <c r="V118" i="53"/>
  <c r="W118" i="53"/>
  <c r="X118" i="53"/>
  <c r="Y118" i="53"/>
  <c r="Z118" i="53"/>
  <c r="AA118" i="53"/>
  <c r="AB118" i="53"/>
  <c r="AC118" i="53"/>
  <c r="AD118" i="53"/>
  <c r="AE118" i="53"/>
  <c r="AF118" i="53"/>
  <c r="AG118" i="53"/>
  <c r="AH118" i="53"/>
  <c r="AI118" i="53"/>
  <c r="AJ118" i="53"/>
  <c r="AK118" i="53"/>
  <c r="AL118" i="53"/>
  <c r="AM118" i="53"/>
  <c r="AN118" i="53"/>
  <c r="AO118" i="53"/>
  <c r="AP118" i="53"/>
  <c r="AQ118" i="53"/>
  <c r="AR118" i="53"/>
  <c r="AS118" i="53"/>
  <c r="AT118" i="53"/>
  <c r="AU118" i="53"/>
  <c r="AV118" i="53"/>
  <c r="L119" i="53"/>
  <c r="M119" i="53"/>
  <c r="N119" i="53"/>
  <c r="O119" i="53"/>
  <c r="P119" i="53"/>
  <c r="Q119" i="53"/>
  <c r="Q130" i="53" s="1"/>
  <c r="R119" i="53"/>
  <c r="S119" i="53"/>
  <c r="T119" i="53"/>
  <c r="U119" i="53"/>
  <c r="V119" i="53"/>
  <c r="W119" i="53"/>
  <c r="X119" i="53"/>
  <c r="Y119" i="53"/>
  <c r="Y130" i="53" s="1"/>
  <c r="Z119" i="53"/>
  <c r="AA119" i="53"/>
  <c r="AA130" i="53" s="1"/>
  <c r="AA141" i="53" s="1"/>
  <c r="AB119" i="53"/>
  <c r="AC119" i="53"/>
  <c r="AC130" i="53" s="1"/>
  <c r="AC141" i="53" s="1"/>
  <c r="AD119" i="53"/>
  <c r="AE119" i="53"/>
  <c r="AF119" i="53"/>
  <c r="AG119" i="53"/>
  <c r="AH119" i="53"/>
  <c r="AI119" i="53"/>
  <c r="AJ119" i="53"/>
  <c r="AK119" i="53"/>
  <c r="AL119" i="53"/>
  <c r="AM119" i="53"/>
  <c r="AM130" i="53" s="1"/>
  <c r="AN119" i="53"/>
  <c r="AO119" i="53"/>
  <c r="AO130" i="53" s="1"/>
  <c r="AP119" i="53"/>
  <c r="AQ119" i="53"/>
  <c r="AR119" i="53"/>
  <c r="AS119" i="53"/>
  <c r="AT119" i="53"/>
  <c r="AU119" i="53"/>
  <c r="AV119" i="53"/>
  <c r="L120" i="53"/>
  <c r="M120" i="53"/>
  <c r="N120" i="53"/>
  <c r="N131" i="53" s="1"/>
  <c r="N142" i="53" s="1"/>
  <c r="O120" i="53"/>
  <c r="P120" i="53"/>
  <c r="Q120" i="53"/>
  <c r="R120" i="53"/>
  <c r="S120" i="53"/>
  <c r="T120" i="53"/>
  <c r="U120" i="53"/>
  <c r="V120" i="53"/>
  <c r="W120" i="53"/>
  <c r="X120" i="53"/>
  <c r="Y120" i="53"/>
  <c r="Z120" i="53"/>
  <c r="AA120" i="53"/>
  <c r="AB120" i="53"/>
  <c r="AC120" i="53"/>
  <c r="AD120" i="53"/>
  <c r="AE120" i="53"/>
  <c r="AF120" i="53"/>
  <c r="AG120" i="53"/>
  <c r="AH120" i="53"/>
  <c r="AI120" i="53"/>
  <c r="AJ120" i="53"/>
  <c r="AK120" i="53"/>
  <c r="AL120" i="53"/>
  <c r="AM120" i="53"/>
  <c r="AN120" i="53"/>
  <c r="AN131" i="53" s="1"/>
  <c r="AO120" i="53"/>
  <c r="AP120" i="53"/>
  <c r="AQ120" i="53"/>
  <c r="AR120" i="53"/>
  <c r="AS120" i="53"/>
  <c r="AT120" i="53"/>
  <c r="AU120" i="53"/>
  <c r="AV120" i="53"/>
  <c r="L121" i="53"/>
  <c r="M121" i="53"/>
  <c r="N121" i="53"/>
  <c r="O121" i="53"/>
  <c r="P121" i="53"/>
  <c r="Q121" i="53"/>
  <c r="R121" i="53"/>
  <c r="S121" i="53"/>
  <c r="T121" i="53"/>
  <c r="U121" i="53"/>
  <c r="V121" i="53"/>
  <c r="W121" i="53"/>
  <c r="X121" i="53"/>
  <c r="Y121" i="53"/>
  <c r="Z121" i="53"/>
  <c r="AA121" i="53"/>
  <c r="AB121" i="53"/>
  <c r="AC121" i="53"/>
  <c r="AD121" i="53"/>
  <c r="AE121" i="53"/>
  <c r="AF121" i="53"/>
  <c r="AG121" i="53"/>
  <c r="AH121" i="53"/>
  <c r="AI121" i="53"/>
  <c r="AJ121" i="53"/>
  <c r="AK121" i="53"/>
  <c r="AL121" i="53"/>
  <c r="AM121" i="53"/>
  <c r="AN121" i="53"/>
  <c r="AO121" i="53"/>
  <c r="AP121" i="53"/>
  <c r="AQ121" i="53"/>
  <c r="AR121" i="53"/>
  <c r="AS121" i="53"/>
  <c r="AT121" i="53"/>
  <c r="AU121" i="53"/>
  <c r="AV121" i="53"/>
  <c r="L122" i="53"/>
  <c r="M122" i="53"/>
  <c r="N122" i="53"/>
  <c r="O122" i="53"/>
  <c r="P122" i="53"/>
  <c r="Q122" i="53"/>
  <c r="R122" i="53"/>
  <c r="S122" i="53"/>
  <c r="T122" i="53"/>
  <c r="U122" i="53"/>
  <c r="V122" i="53"/>
  <c r="W122" i="53"/>
  <c r="X122" i="53"/>
  <c r="X133" i="53" s="1"/>
  <c r="X144" i="53" s="1"/>
  <c r="Y122" i="53"/>
  <c r="Z122" i="53"/>
  <c r="AA122" i="53"/>
  <c r="AB122" i="53"/>
  <c r="AC122" i="53"/>
  <c r="AD122" i="53"/>
  <c r="AE122" i="53"/>
  <c r="AF122" i="53"/>
  <c r="AG122" i="53"/>
  <c r="AH122" i="53"/>
  <c r="AI122" i="53"/>
  <c r="AJ122" i="53"/>
  <c r="AJ133" i="53" s="1"/>
  <c r="AJ144" i="53" s="1"/>
  <c r="AK122" i="53"/>
  <c r="AL122" i="53"/>
  <c r="AM122" i="53"/>
  <c r="AN122" i="53"/>
  <c r="AO122" i="53"/>
  <c r="AP122" i="53"/>
  <c r="AQ122" i="53"/>
  <c r="AR122" i="53"/>
  <c r="AS122" i="53"/>
  <c r="AT122" i="53"/>
  <c r="AU122" i="53"/>
  <c r="AV122" i="53"/>
  <c r="AV133" i="53" s="1"/>
  <c r="L123" i="53"/>
  <c r="M123" i="53"/>
  <c r="N123" i="53"/>
  <c r="O123" i="53"/>
  <c r="P123" i="53"/>
  <c r="Q123" i="53"/>
  <c r="R123" i="53"/>
  <c r="S123" i="53"/>
  <c r="T123" i="53"/>
  <c r="U123" i="53"/>
  <c r="V123" i="53"/>
  <c r="W123" i="53"/>
  <c r="W134" i="53" s="1"/>
  <c r="X123" i="53"/>
  <c r="X134" i="53" s="1"/>
  <c r="Y123" i="53"/>
  <c r="Y134" i="53" s="1"/>
  <c r="Z123" i="53"/>
  <c r="AA123" i="53"/>
  <c r="AB123" i="53"/>
  <c r="AC123" i="53"/>
  <c r="AD123" i="53"/>
  <c r="AE123" i="53"/>
  <c r="AF123" i="53"/>
  <c r="AG123" i="53"/>
  <c r="AH123" i="53"/>
  <c r="AI123" i="53"/>
  <c r="AI134" i="53" s="1"/>
  <c r="AI145" i="53" s="1"/>
  <c r="AJ123" i="53"/>
  <c r="AK123" i="53"/>
  <c r="AK134" i="53" s="1"/>
  <c r="AL123" i="53"/>
  <c r="AL134" i="53" s="1"/>
  <c r="AM123" i="53"/>
  <c r="AN123" i="53"/>
  <c r="AO123" i="53"/>
  <c r="AP123" i="53"/>
  <c r="AQ123" i="53"/>
  <c r="AR123" i="53"/>
  <c r="AS123" i="53"/>
  <c r="AS134" i="53" s="1"/>
  <c r="AT123" i="53"/>
  <c r="AU123" i="53"/>
  <c r="AU134" i="53" s="1"/>
  <c r="AV123" i="53"/>
  <c r="AV134" i="53" s="1"/>
  <c r="AV145" i="53" s="1"/>
  <c r="L124" i="53"/>
  <c r="M124" i="53"/>
  <c r="N124" i="53"/>
  <c r="O124" i="53"/>
  <c r="P124" i="53"/>
  <c r="Q124" i="53"/>
  <c r="R124" i="53"/>
  <c r="R135" i="53" s="1"/>
  <c r="S124" i="53"/>
  <c r="T124" i="53"/>
  <c r="U124" i="53"/>
  <c r="V124" i="53"/>
  <c r="V135" i="53" s="1"/>
  <c r="W124" i="53"/>
  <c r="X124" i="53"/>
  <c r="X135" i="53" s="1"/>
  <c r="Y124" i="53"/>
  <c r="Y135" i="53" s="1"/>
  <c r="Z124" i="53"/>
  <c r="AA124" i="53"/>
  <c r="AB124" i="53"/>
  <c r="AC124" i="53"/>
  <c r="AD124" i="53"/>
  <c r="AE124" i="53"/>
  <c r="AF124" i="53"/>
  <c r="AG124" i="53"/>
  <c r="AH124" i="53"/>
  <c r="AH135" i="53" s="1"/>
  <c r="AI124" i="53"/>
  <c r="AI135" i="53" s="1"/>
  <c r="AJ124" i="53"/>
  <c r="AK124" i="53"/>
  <c r="AL124" i="53"/>
  <c r="AM124" i="53"/>
  <c r="AN124" i="53"/>
  <c r="AO124" i="53"/>
  <c r="AP124" i="53"/>
  <c r="AQ124" i="53"/>
  <c r="AR124" i="53"/>
  <c r="AS124" i="53"/>
  <c r="AT124" i="53"/>
  <c r="AT135" i="53" s="1"/>
  <c r="AU124" i="53"/>
  <c r="AU135" i="53" s="1"/>
  <c r="AV124" i="53"/>
  <c r="K117" i="53"/>
  <c r="K118" i="53"/>
  <c r="K119" i="53"/>
  <c r="K120" i="53"/>
  <c r="K121" i="53"/>
  <c r="K122" i="53"/>
  <c r="K123" i="53"/>
  <c r="K124" i="53"/>
  <c r="K116" i="53"/>
  <c r="J117" i="53"/>
  <c r="J118" i="53"/>
  <c r="J119" i="53"/>
  <c r="J120" i="53"/>
  <c r="J121" i="53"/>
  <c r="J122" i="53"/>
  <c r="J123" i="53"/>
  <c r="J124" i="53"/>
  <c r="J116" i="53"/>
  <c r="B117" i="53"/>
  <c r="B128" i="53"/>
  <c r="B139" i="53" s="1"/>
  <c r="B118" i="53"/>
  <c r="B129" i="53"/>
  <c r="B140" i="53" s="1"/>
  <c r="B119" i="53"/>
  <c r="B130" i="53" s="1"/>
  <c r="B141" i="53" s="1"/>
  <c r="B120" i="53"/>
  <c r="B131" i="53" s="1"/>
  <c r="B142" i="53" s="1"/>
  <c r="B121" i="53"/>
  <c r="B132" i="53" s="1"/>
  <c r="B143" i="53" s="1"/>
  <c r="B122" i="53"/>
  <c r="B133" i="53"/>
  <c r="B144" i="53"/>
  <c r="B123" i="53"/>
  <c r="B134" i="53" s="1"/>
  <c r="B145" i="53" s="1"/>
  <c r="B124" i="53"/>
  <c r="B135" i="53" s="1"/>
  <c r="B146" i="53" s="1"/>
  <c r="B116" i="53"/>
  <c r="B127" i="53"/>
  <c r="B138" i="53" s="1"/>
  <c r="I266" i="53"/>
  <c r="H266" i="53"/>
  <c r="G266" i="53"/>
  <c r="F266" i="53"/>
  <c r="E266" i="53"/>
  <c r="C266" i="53"/>
  <c r="B266" i="53"/>
  <c r="I265" i="53"/>
  <c r="H265" i="53"/>
  <c r="G265" i="53"/>
  <c r="F265" i="53"/>
  <c r="E265" i="53"/>
  <c r="C265" i="53"/>
  <c r="B265" i="53"/>
  <c r="I264" i="53"/>
  <c r="H264" i="53"/>
  <c r="G264" i="53"/>
  <c r="F264" i="53"/>
  <c r="E264" i="53"/>
  <c r="C264" i="53"/>
  <c r="B264" i="53"/>
  <c r="I263" i="53"/>
  <c r="H263" i="53"/>
  <c r="G263" i="53"/>
  <c r="F263" i="53"/>
  <c r="E263" i="53"/>
  <c r="C263" i="53"/>
  <c r="B263" i="53"/>
  <c r="I262" i="53"/>
  <c r="H262" i="53"/>
  <c r="G262" i="53"/>
  <c r="F262" i="53"/>
  <c r="E262" i="53"/>
  <c r="C262" i="53"/>
  <c r="B262" i="53"/>
  <c r="I261" i="53"/>
  <c r="H261" i="53"/>
  <c r="G261" i="53"/>
  <c r="F261" i="53"/>
  <c r="E261" i="53"/>
  <c r="C261" i="53"/>
  <c r="B261" i="53"/>
  <c r="I260" i="53"/>
  <c r="H260" i="53"/>
  <c r="G260" i="53"/>
  <c r="F260" i="53"/>
  <c r="E260" i="53"/>
  <c r="C260" i="53"/>
  <c r="B260" i="53"/>
  <c r="I259" i="53"/>
  <c r="H259" i="53"/>
  <c r="G259" i="53"/>
  <c r="F259" i="53"/>
  <c r="E259" i="53"/>
  <c r="C259" i="53"/>
  <c r="B259" i="53"/>
  <c r="I258" i="53"/>
  <c r="H258" i="53"/>
  <c r="G258" i="53"/>
  <c r="F258" i="53"/>
  <c r="E258" i="53"/>
  <c r="C258" i="53"/>
  <c r="B258" i="53"/>
  <c r="AO257" i="53"/>
  <c r="AP257" i="53" s="1"/>
  <c r="I257" i="53"/>
  <c r="H257" i="53"/>
  <c r="F257" i="53"/>
  <c r="E257" i="53"/>
  <c r="C257" i="53"/>
  <c r="I256" i="53"/>
  <c r="H256" i="53"/>
  <c r="G256" i="53"/>
  <c r="F256" i="53"/>
  <c r="E256" i="53"/>
  <c r="C256" i="53"/>
  <c r="B256" i="53"/>
  <c r="I255" i="53"/>
  <c r="H255" i="53"/>
  <c r="G255" i="53"/>
  <c r="F255" i="53"/>
  <c r="E255" i="53"/>
  <c r="C255" i="53"/>
  <c r="B255" i="53"/>
  <c r="I254" i="53"/>
  <c r="H254" i="53"/>
  <c r="G254" i="53"/>
  <c r="F254" i="53"/>
  <c r="E254" i="53"/>
  <c r="C254" i="53"/>
  <c r="B254" i="53"/>
  <c r="I253" i="53"/>
  <c r="H253" i="53"/>
  <c r="G253" i="53"/>
  <c r="F253" i="53"/>
  <c r="E253" i="53"/>
  <c r="C253" i="53"/>
  <c r="B253" i="53"/>
  <c r="I252" i="53"/>
  <c r="H252" i="53"/>
  <c r="G252" i="53"/>
  <c r="F252" i="53"/>
  <c r="E252" i="53"/>
  <c r="C252" i="53"/>
  <c r="B252" i="53"/>
  <c r="I251" i="53"/>
  <c r="H251" i="53"/>
  <c r="G251" i="53"/>
  <c r="F251" i="53"/>
  <c r="E251" i="53"/>
  <c r="C251" i="53"/>
  <c r="B251" i="53"/>
  <c r="I250" i="53"/>
  <c r="H250" i="53"/>
  <c r="G250" i="53"/>
  <c r="F250" i="53"/>
  <c r="E250" i="53"/>
  <c r="C250" i="53"/>
  <c r="B250" i="53"/>
  <c r="I249" i="53"/>
  <c r="H249" i="53"/>
  <c r="G249" i="53"/>
  <c r="F249" i="53"/>
  <c r="E249" i="53"/>
  <c r="C249" i="53"/>
  <c r="B249" i="53"/>
  <c r="I248" i="53"/>
  <c r="H248" i="53"/>
  <c r="G248" i="53"/>
  <c r="F248" i="53"/>
  <c r="E248" i="53"/>
  <c r="C248" i="53"/>
  <c r="B248" i="53"/>
  <c r="B170" i="53"/>
  <c r="D256" i="53"/>
  <c r="B169" i="53"/>
  <c r="B240" i="53" s="1"/>
  <c r="B168" i="53"/>
  <c r="B239" i="53" s="1"/>
  <c r="B167" i="53"/>
  <c r="B166" i="53"/>
  <c r="D252" i="53" s="1"/>
  <c r="B165" i="53"/>
  <c r="D251" i="53" s="1"/>
  <c r="B164" i="53"/>
  <c r="D250" i="53"/>
  <c r="B163" i="53"/>
  <c r="D249" i="53"/>
  <c r="B162" i="53"/>
  <c r="D248" i="53" s="1"/>
  <c r="E135" i="53"/>
  <c r="E146" i="53" s="1"/>
  <c r="E134" i="53"/>
  <c r="E133" i="53"/>
  <c r="E144" i="53"/>
  <c r="E132" i="53"/>
  <c r="E131" i="53"/>
  <c r="E142" i="53" s="1"/>
  <c r="E130" i="53"/>
  <c r="E129" i="53"/>
  <c r="T129" i="53" s="1"/>
  <c r="E128" i="53"/>
  <c r="AV128" i="53" s="1"/>
  <c r="AV139" i="53" s="1"/>
  <c r="E139" i="53"/>
  <c r="E127" i="53"/>
  <c r="AB127" i="53" s="1"/>
  <c r="C78" i="53"/>
  <c r="C113" i="53" s="1"/>
  <c r="C124" i="53" s="1"/>
  <c r="C135" i="53" s="1"/>
  <c r="C146" i="53" s="1"/>
  <c r="C170" i="53" s="1"/>
  <c r="C241" i="53" s="1"/>
  <c r="C77" i="53"/>
  <c r="D16" i="39" s="1"/>
  <c r="C76" i="53"/>
  <c r="C111" i="53" s="1"/>
  <c r="C122" i="53" s="1"/>
  <c r="C133" i="53" s="1"/>
  <c r="C144" i="53" s="1"/>
  <c r="C168" i="53" s="1"/>
  <c r="C75" i="53"/>
  <c r="C74" i="53"/>
  <c r="C109" i="53" s="1"/>
  <c r="C120" i="53" s="1"/>
  <c r="C131" i="53" s="1"/>
  <c r="C142" i="53" s="1"/>
  <c r="C166" i="53" s="1"/>
  <c r="C237" i="53" s="1"/>
  <c r="C73" i="53"/>
  <c r="C84" i="53"/>
  <c r="C72" i="53"/>
  <c r="C83" i="53" s="1"/>
  <c r="C94" i="53" s="1"/>
  <c r="C153" i="53" s="1"/>
  <c r="C71" i="53"/>
  <c r="C70" i="53"/>
  <c r="C105" i="53" s="1"/>
  <c r="C116" i="53" s="1"/>
  <c r="C127" i="53" s="1"/>
  <c r="C138" i="53" s="1"/>
  <c r="C162" i="53" s="1"/>
  <c r="J67" i="53"/>
  <c r="J104" i="53" s="1"/>
  <c r="I67" i="53"/>
  <c r="H67" i="53"/>
  <c r="G67" i="53"/>
  <c r="B46" i="53"/>
  <c r="B45" i="53"/>
  <c r="B44" i="53"/>
  <c r="B43" i="53"/>
  <c r="B49" i="53" s="1"/>
  <c r="J25" i="53"/>
  <c r="C25" i="53"/>
  <c r="B25" i="53"/>
  <c r="C23" i="53"/>
  <c r="C24" i="53" s="1"/>
  <c r="B23" i="53"/>
  <c r="B24" i="53" s="1"/>
  <c r="J22" i="53"/>
  <c r="E14" i="53"/>
  <c r="J6" i="53"/>
  <c r="H6" i="53"/>
  <c r="G6" i="53"/>
  <c r="F6" i="53"/>
  <c r="E6" i="53"/>
  <c r="D6" i="53"/>
  <c r="J5" i="53"/>
  <c r="K4" i="53"/>
  <c r="K6" i="53" s="1"/>
  <c r="A1" i="53"/>
  <c r="B236" i="53"/>
  <c r="D264" i="53"/>
  <c r="G76" i="53"/>
  <c r="E87" i="53"/>
  <c r="G87" i="53" s="1"/>
  <c r="G77" i="53"/>
  <c r="E88" i="53"/>
  <c r="G88" i="53"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E51" i="52" s="1"/>
  <c r="D34" i="52"/>
  <c r="S33" i="52"/>
  <c r="R33" i="52"/>
  <c r="Q33" i="52"/>
  <c r="P33" i="52"/>
  <c r="O33" i="52"/>
  <c r="N33" i="52"/>
  <c r="M33" i="52"/>
  <c r="L33" i="52"/>
  <c r="K33" i="52"/>
  <c r="J33" i="52"/>
  <c r="I33" i="52"/>
  <c r="I50" i="52" s="1"/>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Q45" i="52" s="1"/>
  <c r="P28" i="52"/>
  <c r="O28" i="52"/>
  <c r="N28" i="52"/>
  <c r="M28" i="52"/>
  <c r="L28" i="52"/>
  <c r="K28" i="52"/>
  <c r="J28" i="52"/>
  <c r="I28" i="52"/>
  <c r="H28" i="52"/>
  <c r="G28" i="52"/>
  <c r="F28" i="52"/>
  <c r="E28" i="52"/>
  <c r="E45" i="52" s="1"/>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R52" i="52" s="1"/>
  <c r="Q18" i="52"/>
  <c r="P18" i="52"/>
  <c r="O18" i="52"/>
  <c r="O52" i="52" s="1"/>
  <c r="N18" i="52"/>
  <c r="M18" i="52"/>
  <c r="L18" i="52"/>
  <c r="L52" i="52" s="1"/>
  <c r="K18" i="52"/>
  <c r="J18" i="52"/>
  <c r="I18" i="52"/>
  <c r="I52" i="52" s="1"/>
  <c r="H18" i="52"/>
  <c r="H52" i="52" s="1"/>
  <c r="G18" i="52"/>
  <c r="F18" i="52"/>
  <c r="F52" i="52" s="1"/>
  <c r="E18" i="52"/>
  <c r="E52" i="52" s="1"/>
  <c r="D18" i="52"/>
  <c r="S17" i="52"/>
  <c r="S51" i="52" s="1"/>
  <c r="R17" i="52"/>
  <c r="Q17" i="52"/>
  <c r="P17" i="52"/>
  <c r="O17" i="52"/>
  <c r="N17" i="52"/>
  <c r="N51" i="52" s="1"/>
  <c r="M17" i="52"/>
  <c r="M51" i="52" s="1"/>
  <c r="L17" i="52"/>
  <c r="K17" i="52"/>
  <c r="J17" i="52"/>
  <c r="J51" i="52" s="1"/>
  <c r="I17" i="52"/>
  <c r="I51" i="52" s="1"/>
  <c r="H17" i="52"/>
  <c r="H51" i="52" s="1"/>
  <c r="G17" i="52"/>
  <c r="G51" i="52" s="1"/>
  <c r="F17" i="52"/>
  <c r="E17" i="52"/>
  <c r="D17" i="52"/>
  <c r="D51" i="52" s="1"/>
  <c r="S16" i="52"/>
  <c r="R16" i="52"/>
  <c r="R50" i="52" s="1"/>
  <c r="Q16" i="52"/>
  <c r="Q50" i="52" s="1"/>
  <c r="P16" i="52"/>
  <c r="O16" i="52"/>
  <c r="N16" i="52"/>
  <c r="N50" i="52" s="1"/>
  <c r="M16" i="52"/>
  <c r="M50" i="52" s="1"/>
  <c r="L16" i="52"/>
  <c r="L50" i="52" s="1"/>
  <c r="K16" i="52"/>
  <c r="K50" i="52" s="1"/>
  <c r="J16" i="52"/>
  <c r="I16" i="52"/>
  <c r="H16" i="52"/>
  <c r="H50" i="52" s="1"/>
  <c r="G16" i="52"/>
  <c r="F16" i="52"/>
  <c r="F50" i="52" s="1"/>
  <c r="E16" i="52"/>
  <c r="E50" i="52" s="1"/>
  <c r="D16" i="52"/>
  <c r="S15" i="52"/>
  <c r="R15" i="52"/>
  <c r="R49" i="52" s="1"/>
  <c r="Q15" i="52"/>
  <c r="P15" i="52"/>
  <c r="O15" i="52"/>
  <c r="O49" i="52" s="1"/>
  <c r="N15" i="52"/>
  <c r="M15" i="52"/>
  <c r="L15" i="52"/>
  <c r="L49" i="52" s="1"/>
  <c r="K15" i="52"/>
  <c r="J15" i="52"/>
  <c r="J49" i="52" s="1"/>
  <c r="I15" i="52"/>
  <c r="I49" i="52" s="1"/>
  <c r="H15" i="52"/>
  <c r="G15" i="52"/>
  <c r="F15" i="52"/>
  <c r="F49" i="52" s="1"/>
  <c r="E15" i="52"/>
  <c r="D15" i="52"/>
  <c r="D49" i="52" s="1"/>
  <c r="S14" i="52"/>
  <c r="R14" i="52"/>
  <c r="Q14" i="52"/>
  <c r="P14" i="52"/>
  <c r="O14" i="52"/>
  <c r="N14" i="52"/>
  <c r="N48" i="52" s="1"/>
  <c r="M14" i="52"/>
  <c r="M48" i="52" s="1"/>
  <c r="L14" i="52"/>
  <c r="L48" i="52" s="1"/>
  <c r="K14" i="52"/>
  <c r="J14" i="52"/>
  <c r="J48" i="52" s="1"/>
  <c r="I14" i="52"/>
  <c r="I48" i="52" s="1"/>
  <c r="H14" i="52"/>
  <c r="H48" i="52" s="1"/>
  <c r="G14" i="52"/>
  <c r="G48" i="52" s="1"/>
  <c r="F14" i="52"/>
  <c r="E14" i="52"/>
  <c r="D14" i="52"/>
  <c r="D48" i="52" s="1"/>
  <c r="S13" i="52"/>
  <c r="R13" i="52"/>
  <c r="R47" i="52" s="1"/>
  <c r="Q13" i="52"/>
  <c r="Q47" i="52" s="1"/>
  <c r="P13" i="52"/>
  <c r="P47" i="52" s="1"/>
  <c r="O13" i="52"/>
  <c r="N13" i="52"/>
  <c r="M13" i="52"/>
  <c r="M47" i="52" s="1"/>
  <c r="L13" i="52"/>
  <c r="L47" i="52" s="1"/>
  <c r="K13" i="52"/>
  <c r="K47" i="52" s="1"/>
  <c r="J13" i="52"/>
  <c r="I13" i="52"/>
  <c r="H13" i="52"/>
  <c r="H47" i="52" s="1"/>
  <c r="G13" i="52"/>
  <c r="F13" i="52"/>
  <c r="F47" i="52" s="1"/>
  <c r="E13" i="52"/>
  <c r="E47" i="52" s="1"/>
  <c r="D13" i="52"/>
  <c r="D47" i="52" s="1"/>
  <c r="S12" i="52"/>
  <c r="R12" i="52"/>
  <c r="Q12" i="52"/>
  <c r="Q46" i="52" s="1"/>
  <c r="P12" i="52"/>
  <c r="P46" i="52" s="1"/>
  <c r="O12" i="52"/>
  <c r="O46" i="52" s="1"/>
  <c r="N12" i="52"/>
  <c r="M12" i="52"/>
  <c r="L12" i="52"/>
  <c r="L46" i="52" s="1"/>
  <c r="K12" i="52"/>
  <c r="J12" i="52"/>
  <c r="J46" i="52" s="1"/>
  <c r="I12" i="52"/>
  <c r="I46" i="52" s="1"/>
  <c r="H12" i="52"/>
  <c r="G12" i="52"/>
  <c r="F12" i="52"/>
  <c r="E12" i="52"/>
  <c r="D12" i="52"/>
  <c r="D46" i="52" s="1"/>
  <c r="S11" i="52"/>
  <c r="S45" i="52" s="1"/>
  <c r="R11" i="52"/>
  <c r="Q11" i="52"/>
  <c r="P11" i="52"/>
  <c r="O11" i="52"/>
  <c r="N11" i="52"/>
  <c r="N45" i="52" s="1"/>
  <c r="M11" i="52"/>
  <c r="M45" i="52" s="1"/>
  <c r="L11" i="52"/>
  <c r="K11" i="52"/>
  <c r="J11" i="52"/>
  <c r="J45" i="52" s="1"/>
  <c r="I11" i="52"/>
  <c r="I45" i="52" s="1"/>
  <c r="H11" i="52"/>
  <c r="H45" i="52" s="1"/>
  <c r="G11" i="52"/>
  <c r="G45" i="52" s="1"/>
  <c r="F11" i="52"/>
  <c r="E11" i="52"/>
  <c r="D11" i="52"/>
  <c r="D45" i="52" s="1"/>
  <c r="S10" i="52"/>
  <c r="R10" i="52"/>
  <c r="R44" i="52" s="1"/>
  <c r="Q10" i="52"/>
  <c r="Q44" i="52" s="1"/>
  <c r="P10" i="52"/>
  <c r="P44" i="52" s="1"/>
  <c r="O10" i="52"/>
  <c r="N10" i="52"/>
  <c r="N44" i="52" s="1"/>
  <c r="M10" i="52"/>
  <c r="M44" i="52" s="1"/>
  <c r="L10" i="52"/>
  <c r="K10" i="52"/>
  <c r="J10" i="52"/>
  <c r="I10" i="52"/>
  <c r="H10" i="52"/>
  <c r="H44" i="52" s="1"/>
  <c r="G10" i="52"/>
  <c r="F10" i="52"/>
  <c r="F44" i="52" s="1"/>
  <c r="E10" i="52"/>
  <c r="E44" i="52" s="1"/>
  <c r="D10" i="52"/>
  <c r="D44" i="52" s="1"/>
  <c r="S9" i="52"/>
  <c r="R9" i="52"/>
  <c r="R43" i="52" s="1"/>
  <c r="Q9" i="52"/>
  <c r="Q43" i="52" s="1"/>
  <c r="P9" i="52"/>
  <c r="P43" i="52" s="1"/>
  <c r="O9" i="52"/>
  <c r="O43" i="52" s="1"/>
  <c r="N9" i="52"/>
  <c r="M9" i="52"/>
  <c r="L9" i="52"/>
  <c r="L43" i="52" s="1"/>
  <c r="K9" i="52"/>
  <c r="J9" i="52"/>
  <c r="J43" i="52" s="1"/>
  <c r="I9" i="52"/>
  <c r="I43" i="52" s="1"/>
  <c r="H9" i="52"/>
  <c r="H43" i="52" s="1"/>
  <c r="G9" i="52"/>
  <c r="F9" i="52"/>
  <c r="F43" i="52" s="1"/>
  <c r="E9" i="52"/>
  <c r="E43" i="52" s="1"/>
  <c r="D9" i="52"/>
  <c r="S8" i="52"/>
  <c r="S42" i="52" s="1"/>
  <c r="R8" i="52"/>
  <c r="Q8" i="52"/>
  <c r="P8" i="52"/>
  <c r="O8" i="52"/>
  <c r="N8" i="52"/>
  <c r="N42" i="52" s="1"/>
  <c r="M8" i="52"/>
  <c r="M42" i="52" s="1"/>
  <c r="L8" i="52"/>
  <c r="L42" i="52" s="1"/>
  <c r="K8" i="52"/>
  <c r="J8" i="52"/>
  <c r="J42" i="52" s="1"/>
  <c r="I8" i="52"/>
  <c r="H8" i="52"/>
  <c r="H42" i="52" s="1"/>
  <c r="G8" i="52"/>
  <c r="G42" i="52" s="1"/>
  <c r="F8" i="52"/>
  <c r="E8" i="52"/>
  <c r="D8" i="52"/>
  <c r="D42" i="52" s="1"/>
  <c r="S7" i="52"/>
  <c r="R7" i="52"/>
  <c r="R41" i="52" s="1"/>
  <c r="Q7" i="52"/>
  <c r="Q41" i="52" s="1"/>
  <c r="P7" i="52"/>
  <c r="P41" i="52" s="1"/>
  <c r="O7" i="52"/>
  <c r="N7" i="52"/>
  <c r="M7" i="52"/>
  <c r="L7" i="52"/>
  <c r="L41" i="52" s="1"/>
  <c r="K7" i="52"/>
  <c r="K41" i="52" s="1"/>
  <c r="J7" i="52"/>
  <c r="I7" i="52"/>
  <c r="H7" i="52"/>
  <c r="H41" i="52" s="1"/>
  <c r="G7" i="52"/>
  <c r="F7" i="52"/>
  <c r="F41" i="52" s="1"/>
  <c r="E7" i="52"/>
  <c r="E41" i="52" s="1"/>
  <c r="D7" i="52"/>
  <c r="D41" i="52" s="1"/>
  <c r="S6" i="52"/>
  <c r="R6" i="52"/>
  <c r="R40" i="52" s="1"/>
  <c r="Q6" i="52"/>
  <c r="Q40" i="52" s="1"/>
  <c r="P6" i="52"/>
  <c r="P40" i="52" s="1"/>
  <c r="O6" i="52"/>
  <c r="O40" i="52" s="1"/>
  <c r="N6" i="52"/>
  <c r="M6" i="52"/>
  <c r="L6" i="52"/>
  <c r="L40" i="52" s="1"/>
  <c r="K6" i="52"/>
  <c r="J6" i="52"/>
  <c r="J40" i="52" s="1"/>
  <c r="I6" i="52"/>
  <c r="I40" i="52" s="1"/>
  <c r="H6" i="52"/>
  <c r="H40" i="52" s="1"/>
  <c r="G6" i="52"/>
  <c r="F6" i="52"/>
  <c r="F40" i="52" s="1"/>
  <c r="E6" i="52"/>
  <c r="E40" i="52" s="1"/>
  <c r="D6" i="52"/>
  <c r="D40" i="52" s="1"/>
  <c r="S5" i="52"/>
  <c r="S39" i="52" s="1"/>
  <c r="R5" i="52"/>
  <c r="Q5" i="52"/>
  <c r="P5" i="52"/>
  <c r="O5" i="52"/>
  <c r="N5" i="52"/>
  <c r="N39" i="52" s="1"/>
  <c r="M5" i="52"/>
  <c r="M39" i="52" s="1"/>
  <c r="L5" i="52"/>
  <c r="L39" i="52" s="1"/>
  <c r="K5" i="52"/>
  <c r="J5" i="52"/>
  <c r="J39" i="52" s="1"/>
  <c r="I5" i="52"/>
  <c r="I39" i="52" s="1"/>
  <c r="H5" i="52"/>
  <c r="H39" i="52" s="1"/>
  <c r="G5" i="52"/>
  <c r="G39" i="52" s="1"/>
  <c r="F5" i="52"/>
  <c r="E5" i="52"/>
  <c r="D5" i="52"/>
  <c r="D39" i="52" s="1"/>
  <c r="S4" i="52"/>
  <c r="R4" i="52"/>
  <c r="R38" i="52" s="1"/>
  <c r="Q4" i="52"/>
  <c r="Q38" i="52" s="1"/>
  <c r="P4" i="52"/>
  <c r="P38" i="52" s="1"/>
  <c r="O4" i="52"/>
  <c r="N4" i="52"/>
  <c r="N38" i="52" s="1"/>
  <c r="M4" i="52"/>
  <c r="M38" i="52" s="1"/>
  <c r="L4" i="52"/>
  <c r="L38" i="52" s="1"/>
  <c r="K4" i="52"/>
  <c r="K38" i="52" s="1"/>
  <c r="J4" i="52"/>
  <c r="I4" i="52"/>
  <c r="H4" i="52"/>
  <c r="H38" i="52" s="1"/>
  <c r="G4" i="52"/>
  <c r="F4" i="52"/>
  <c r="F38" i="52" s="1"/>
  <c r="E4" i="52"/>
  <c r="E38" i="52" s="1"/>
  <c r="D4" i="52"/>
  <c r="S3" i="52"/>
  <c r="R3" i="52"/>
  <c r="R37" i="52" s="1"/>
  <c r="Q3" i="52"/>
  <c r="P3" i="52"/>
  <c r="P37" i="52" s="1"/>
  <c r="O3" i="52"/>
  <c r="O37" i="52" s="1"/>
  <c r="N3" i="52"/>
  <c r="M3" i="52"/>
  <c r="L3" i="52"/>
  <c r="L37" i="52" s="1"/>
  <c r="K3" i="52"/>
  <c r="J3" i="52"/>
  <c r="J37" i="52" s="1"/>
  <c r="I3" i="52"/>
  <c r="I37" i="52" s="1"/>
  <c r="H3" i="52"/>
  <c r="G3" i="52"/>
  <c r="F3" i="52"/>
  <c r="E3" i="52"/>
  <c r="E37" i="52" s="1"/>
  <c r="D3" i="52"/>
  <c r="D37" i="52" s="1"/>
  <c r="S2" i="52"/>
  <c r="R2" i="52"/>
  <c r="Q2" i="52"/>
  <c r="P2" i="52"/>
  <c r="O2" i="52"/>
  <c r="N2" i="52"/>
  <c r="N36" i="52" s="1"/>
  <c r="M2" i="52"/>
  <c r="M36" i="52" s="1"/>
  <c r="L2" i="52"/>
  <c r="L36" i="52" s="1"/>
  <c r="K2" i="52"/>
  <c r="J2" i="52"/>
  <c r="J36" i="52" s="1"/>
  <c r="I2" i="52"/>
  <c r="I36" i="52" s="1"/>
  <c r="H2" i="52"/>
  <c r="G2" i="52"/>
  <c r="G36" i="52" s="1"/>
  <c r="F2" i="52"/>
  <c r="E2" i="52"/>
  <c r="D2" i="52"/>
  <c r="R130" i="53"/>
  <c r="R129" i="53"/>
  <c r="S130" i="53"/>
  <c r="S135" i="53"/>
  <c r="U128" i="53"/>
  <c r="U139" i="53" s="1"/>
  <c r="T135" i="53"/>
  <c r="S134" i="53"/>
  <c r="U134" i="53"/>
  <c r="V134" i="53"/>
  <c r="V131" i="53"/>
  <c r="D8" i="29"/>
  <c r="D14" i="29" s="1"/>
  <c r="E8" i="29"/>
  <c r="E14" i="29" s="1"/>
  <c r="F8" i="29"/>
  <c r="F14" i="29" s="1"/>
  <c r="G8" i="29"/>
  <c r="G14" i="29" s="1"/>
  <c r="H8" i="29"/>
  <c r="H14" i="29" s="1"/>
  <c r="W130" i="53"/>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X130" i="53"/>
  <c r="Z130" i="53"/>
  <c r="Z135" i="53"/>
  <c r="Z134" i="53"/>
  <c r="AA134" i="53"/>
  <c r="AA145" i="53" s="1"/>
  <c r="AB130" i="53"/>
  <c r="AB128" i="53"/>
  <c r="D42" i="44"/>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C135" i="53"/>
  <c r="AC134" i="53"/>
  <c r="AD135" i="53"/>
  <c r="AD127" i="53"/>
  <c r="AD130" i="53"/>
  <c r="AD141" i="53" s="1"/>
  <c r="AD128" i="53"/>
  <c r="AD131" i="53"/>
  <c r="AE134" i="53"/>
  <c r="AF134" i="53"/>
  <c r="AG134" i="53"/>
  <c r="AG135" i="53"/>
  <c r="AI129" i="53"/>
  <c r="AH130" i="53"/>
  <c r="AH141" i="53" s="1"/>
  <c r="AH131" i="53"/>
  <c r="AH134" i="53"/>
  <c r="AJ130" i="53"/>
  <c r="AJ135" i="53"/>
  <c r="AJ146" i="53" s="1"/>
  <c r="AJ128" i="53"/>
  <c r="AI130" i="53"/>
  <c r="AK128" i="53"/>
  <c r="AK135" i="53"/>
  <c r="AL135" i="53"/>
  <c r="AK130" i="53"/>
  <c r="AM134" i="53"/>
  <c r="AM145" i="53" s="1"/>
  <c r="AM127" i="53"/>
  <c r="AM128" i="53"/>
  <c r="AM139" i="53" s="1"/>
  <c r="AL130" i="53"/>
  <c r="AN135" i="53"/>
  <c r="AN134" i="53"/>
  <c r="AP127" i="53"/>
  <c r="AP134" i="53"/>
  <c r="AP131" i="53"/>
  <c r="AP135" i="53"/>
  <c r="AQ134" i="53"/>
  <c r="AR135" i="53"/>
  <c r="AQ130" i="53"/>
  <c r="AQ135" i="53"/>
  <c r="AS135" i="53"/>
  <c r="AR129" i="53"/>
  <c r="AT130" i="53"/>
  <c r="AT141" i="53" s="1"/>
  <c r="AT131" i="53"/>
  <c r="AT142" i="53"/>
  <c r="AU130" i="53"/>
  <c r="AU131" i="53"/>
  <c r="AV135" i="53"/>
  <c r="L94" i="32"/>
  <c r="J94" i="32"/>
  <c r="J73" i="32" s="1"/>
  <c r="J80" i="32" s="1"/>
  <c r="F29" i="27"/>
  <c r="E29" i="27"/>
  <c r="D29" i="27"/>
  <c r="C29" i="27"/>
  <c r="B29" i="27"/>
  <c r="A29" i="27"/>
  <c r="A28" i="27"/>
  <c r="F27" i="27"/>
  <c r="E27" i="27"/>
  <c r="D27" i="27"/>
  <c r="C27" i="27"/>
  <c r="B27" i="27"/>
  <c r="A27" i="27"/>
  <c r="F26" i="27"/>
  <c r="E26" i="27"/>
  <c r="D26" i="27"/>
  <c r="C26" i="27"/>
  <c r="B26" i="27"/>
  <c r="A26" i="27"/>
  <c r="F25" i="27"/>
  <c r="E25" i="27"/>
  <c r="D25" i="27"/>
  <c r="C25" i="27"/>
  <c r="B25" i="27"/>
  <c r="A25" i="27"/>
  <c r="F24" i="27"/>
  <c r="E24" i="27"/>
  <c r="D24" i="27"/>
  <c r="C24" i="27"/>
  <c r="B24" i="27"/>
  <c r="F23" i="27"/>
  <c r="E23" i="27"/>
  <c r="D23" i="27"/>
  <c r="C23" i="27"/>
  <c r="B23" i="27"/>
  <c r="F22" i="27"/>
  <c r="E22" i="27"/>
  <c r="D22" i="27"/>
  <c r="C22" i="27"/>
  <c r="B22" i="27"/>
  <c r="F21" i="27"/>
  <c r="E21" i="27"/>
  <c r="D21" i="27"/>
  <c r="C21" i="27"/>
  <c r="B21" i="27"/>
  <c r="F20" i="27"/>
  <c r="E20" i="27"/>
  <c r="D20" i="27"/>
  <c r="C20" i="27"/>
  <c r="B20" i="27"/>
  <c r="F19" i="27"/>
  <c r="E19" i="27"/>
  <c r="D19" i="27"/>
  <c r="C19" i="27"/>
  <c r="B19" i="27"/>
  <c r="F18" i="27"/>
  <c r="E18" i="27"/>
  <c r="D18" i="27"/>
  <c r="C18" i="27"/>
  <c r="B18" i="27"/>
  <c r="F17" i="27"/>
  <c r="E17" i="27"/>
  <c r="D17" i="27"/>
  <c r="C17" i="27"/>
  <c r="B17" i="27"/>
  <c r="F16" i="27"/>
  <c r="E16" i="27"/>
  <c r="D16" i="27"/>
  <c r="C16" i="27"/>
  <c r="B16" i="27"/>
  <c r="F15" i="27"/>
  <c r="E15" i="27"/>
  <c r="D15" i="27"/>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5" i="32" s="1"/>
  <c r="B34"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D134" i="32"/>
  <c r="D85" i="32" s="1"/>
  <c r="D91" i="32" s="1"/>
  <c r="C134" i="32"/>
  <c r="B134" i="32"/>
  <c r="D133" i="32"/>
  <c r="C133" i="32"/>
  <c r="B133" i="32"/>
  <c r="D132" i="32"/>
  <c r="C132" i="32"/>
  <c r="B132" i="32"/>
  <c r="D131" i="32"/>
  <c r="C131" i="32"/>
  <c r="B131" i="32"/>
  <c r="D130" i="32"/>
  <c r="C130" i="32"/>
  <c r="B130" i="32"/>
  <c r="D129" i="32"/>
  <c r="C129" i="32"/>
  <c r="B129" i="32"/>
  <c r="D128" i="32"/>
  <c r="C128" i="32"/>
  <c r="B128" i="32"/>
  <c r="D127" i="32"/>
  <c r="D84" i="32" s="1"/>
  <c r="D90" i="32" s="1"/>
  <c r="C127" i="32"/>
  <c r="B127" i="32"/>
  <c r="D126" i="32"/>
  <c r="C126" i="32"/>
  <c r="B126" i="32"/>
  <c r="D125" i="32"/>
  <c r="C125" i="32"/>
  <c r="B125" i="32"/>
  <c r="D124" i="32"/>
  <c r="C124" i="32"/>
  <c r="B124" i="32"/>
  <c r="D123" i="32"/>
  <c r="C123" i="32"/>
  <c r="B123" i="32"/>
  <c r="D122" i="32"/>
  <c r="C122" i="32"/>
  <c r="B122" i="32"/>
  <c r="D121" i="32"/>
  <c r="C121" i="32"/>
  <c r="B121" i="32"/>
  <c r="D120" i="32"/>
  <c r="C120" i="32"/>
  <c r="B120" i="32"/>
  <c r="D119" i="32"/>
  <c r="C119" i="32"/>
  <c r="B119" i="32"/>
  <c r="D118" i="32"/>
  <c r="D83" i="32" s="1"/>
  <c r="D89" i="32" s="1"/>
  <c r="C118" i="32"/>
  <c r="B118" i="32"/>
  <c r="D117" i="32"/>
  <c r="C117" i="32"/>
  <c r="B117" i="32"/>
  <c r="D116" i="32"/>
  <c r="C116" i="32"/>
  <c r="B116" i="32"/>
  <c r="D115" i="32"/>
  <c r="C115" i="32"/>
  <c r="B115" i="32"/>
  <c r="D114" i="32"/>
  <c r="C114" i="32"/>
  <c r="B114" i="32"/>
  <c r="D113" i="32"/>
  <c r="C113" i="32"/>
  <c r="B113" i="32"/>
  <c r="D112" i="32"/>
  <c r="C112" i="32"/>
  <c r="B112" i="32"/>
  <c r="D111" i="32"/>
  <c r="C111" i="32"/>
  <c r="B111" i="32"/>
  <c r="D110" i="32"/>
  <c r="C110" i="32"/>
  <c r="B110" i="32"/>
  <c r="D109" i="32"/>
  <c r="C109" i="32"/>
  <c r="B109" i="32"/>
  <c r="D108" i="32"/>
  <c r="D82" i="32" s="1"/>
  <c r="D88" i="32" s="1"/>
  <c r="C108" i="32"/>
  <c r="B108" i="32"/>
  <c r="D107" i="32"/>
  <c r="C107" i="32"/>
  <c r="B107" i="32"/>
  <c r="D106" i="32"/>
  <c r="C106" i="32"/>
  <c r="B106" i="32"/>
  <c r="D105" i="32"/>
  <c r="C105" i="32"/>
  <c r="B105" i="32"/>
  <c r="D104" i="32"/>
  <c r="C104" i="32"/>
  <c r="B104" i="32"/>
  <c r="D103" i="32"/>
  <c r="C103" i="32"/>
  <c r="B103" i="32"/>
  <c r="D102" i="32"/>
  <c r="C102" i="32"/>
  <c r="B102" i="32"/>
  <c r="D101" i="32"/>
  <c r="C101" i="32"/>
  <c r="B101" i="32"/>
  <c r="D100" i="32"/>
  <c r="C100" i="32"/>
  <c r="B100" i="32"/>
  <c r="D99" i="32"/>
  <c r="C99" i="32"/>
  <c r="B99" i="32"/>
  <c r="D98" i="32"/>
  <c r="D81" i="32" s="1"/>
  <c r="D87" i="32" s="1"/>
  <c r="C98" i="32"/>
  <c r="B98" i="32"/>
  <c r="D97" i="32"/>
  <c r="C97" i="32"/>
  <c r="B97" i="32"/>
  <c r="I96" i="32"/>
  <c r="H96" i="32"/>
  <c r="G96" i="32"/>
  <c r="F96" i="32"/>
  <c r="E96" i="32"/>
  <c r="D96" i="32"/>
  <c r="C96" i="32"/>
  <c r="B96" i="32"/>
  <c r="C60" i="32"/>
  <c r="C69" i="32" s="1"/>
  <c r="B60" i="32"/>
  <c r="C59" i="32"/>
  <c r="C68" i="32" s="1"/>
  <c r="B59" i="32"/>
  <c r="C58" i="32"/>
  <c r="C67" i="32" s="1"/>
  <c r="B58" i="32"/>
  <c r="C57" i="32"/>
  <c r="C66" i="32" s="1"/>
  <c r="B57" i="32"/>
  <c r="C56" i="32"/>
  <c r="C65" i="32" s="1"/>
  <c r="B56" i="32"/>
  <c r="C55" i="32"/>
  <c r="C64" i="32" s="1"/>
  <c r="B55" i="32"/>
  <c r="C54" i="32"/>
  <c r="C63" i="32" s="1"/>
  <c r="B54" i="32"/>
  <c r="A96" i="32"/>
  <c r="U6" i="44"/>
  <c r="V8" i="44"/>
  <c r="Y8" i="44"/>
  <c r="T9" i="44"/>
  <c r="U10" i="44"/>
  <c r="V12" i="44"/>
  <c r="W13" i="44"/>
  <c r="U14" i="44"/>
  <c r="V16" i="44"/>
  <c r="T21" i="44"/>
  <c r="U21" i="44"/>
  <c r="T5" i="44"/>
  <c r="U5" i="44"/>
  <c r="V5" i="44"/>
  <c r="W5" i="44"/>
  <c r="X5" i="44"/>
  <c r="Y5" i="44"/>
  <c r="Z5" i="44"/>
  <c r="AB5" i="44"/>
  <c r="S5" i="44"/>
  <c r="B45" i="44"/>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C35" i="44"/>
  <c r="D35" i="44"/>
  <c r="E35" i="44"/>
  <c r="F35" i="44"/>
  <c r="G35" i="44"/>
  <c r="H35" i="44"/>
  <c r="I35" i="44"/>
  <c r="B35" i="44"/>
  <c r="C29" i="44"/>
  <c r="D29" i="44"/>
  <c r="E29" i="44"/>
  <c r="F29" i="44"/>
  <c r="G29" i="44"/>
  <c r="H29" i="44"/>
  <c r="I29" i="44"/>
  <c r="B29" i="44"/>
  <c r="A31" i="44"/>
  <c r="A32" i="44"/>
  <c r="A30" i="44"/>
  <c r="F89" i="47"/>
  <c r="E89" i="47" s="1"/>
  <c r="F90" i="47"/>
  <c r="E90" i="47" s="1"/>
  <c r="F91" i="47"/>
  <c r="E91" i="47" s="1"/>
  <c r="F92" i="47"/>
  <c r="E92" i="47" s="1"/>
  <c r="F93" i="47"/>
  <c r="E93" i="47" s="1"/>
  <c r="F94" i="47"/>
  <c r="E94" i="47" s="1"/>
  <c r="F95" i="47"/>
  <c r="E95" i="47" s="1"/>
  <c r="F96" i="47"/>
  <c r="E96" i="47" s="1"/>
  <c r="B6" i="44"/>
  <c r="S6" i="44" s="1"/>
  <c r="B7" i="44"/>
  <c r="S7" i="44" s="1"/>
  <c r="B8" i="44"/>
  <c r="S8" i="44" s="1"/>
  <c r="B9" i="44"/>
  <c r="B10" i="44"/>
  <c r="S10" i="44" s="1"/>
  <c r="B11" i="44"/>
  <c r="S11" i="44" s="1"/>
  <c r="B12" i="44"/>
  <c r="S12" i="44" s="1"/>
  <c r="B13" i="44"/>
  <c r="S13" i="44" s="1"/>
  <c r="B14" i="44"/>
  <c r="S14" i="44" s="1"/>
  <c r="B15" i="44"/>
  <c r="B16" i="44"/>
  <c r="S16" i="44" s="1"/>
  <c r="F72" i="44"/>
  <c r="C72" i="44"/>
  <c r="B25" i="44"/>
  <c r="B72" i="44" s="1"/>
  <c r="C78" i="44" s="1"/>
  <c r="D72" i="44"/>
  <c r="E72" i="44"/>
  <c r="G72" i="44"/>
  <c r="H72" i="44"/>
  <c r="I72" i="44"/>
  <c r="D76" i="44"/>
  <c r="E76" i="44" s="1"/>
  <c r="F76" i="44" s="1"/>
  <c r="G76" i="44" s="1"/>
  <c r="H76" i="44" s="1"/>
  <c r="I76" i="44" s="1"/>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45" i="44"/>
  <c r="AO46" i="44" s="1"/>
  <c r="AO47" i="44" s="1"/>
  <c r="AO48" i="44" s="1"/>
  <c r="AO49" i="44"/>
  <c r="AO50" i="44" s="1"/>
  <c r="AO51" i="44" s="1"/>
  <c r="AO52" i="44" s="1"/>
  <c r="AO53" i="44" s="1"/>
  <c r="AO54" i="44" s="1"/>
  <c r="AO55" i="44" s="1"/>
  <c r="AO56" i="44" s="1"/>
  <c r="AO57" i="44" s="1"/>
  <c r="AO58" i="44" s="1"/>
  <c r="AO59" i="44" s="1"/>
  <c r="D43" i="44"/>
  <c r="E43" i="44" s="1"/>
  <c r="F43" i="44" s="1"/>
  <c r="G43" i="44" s="1"/>
  <c r="H43" i="44" s="1"/>
  <c r="I43" i="44" s="1"/>
  <c r="J43" i="44" s="1"/>
  <c r="K43" i="44" s="1"/>
  <c r="L43" i="44" s="1"/>
  <c r="M43" i="44" s="1"/>
  <c r="N43" i="44" s="1"/>
  <c r="O43" i="44" s="1"/>
  <c r="P43" i="44" s="1"/>
  <c r="Q43" i="44" s="1"/>
  <c r="R43" i="44" s="1"/>
  <c r="S43" i="44" s="1"/>
  <c r="T43" i="44" s="1"/>
  <c r="U43" i="44" s="1"/>
  <c r="V43" i="44" s="1"/>
  <c r="W43" i="44" s="1"/>
  <c r="X43" i="44" s="1"/>
  <c r="Y43" i="44" s="1"/>
  <c r="Z43" i="44" s="1"/>
  <c r="AA43" i="44" s="1"/>
  <c r="AB43" i="44" s="1"/>
  <c r="AC43" i="44" s="1"/>
  <c r="AD43" i="44" s="1"/>
  <c r="AE43" i="44" s="1"/>
  <c r="AF43" i="44" s="1"/>
  <c r="AG43" i="44" s="1"/>
  <c r="A9" i="44"/>
  <c r="A47" i="44" s="1"/>
  <c r="A10" i="44"/>
  <c r="A48" i="44" s="1"/>
  <c r="A11" i="44"/>
  <c r="A49" i="44" s="1"/>
  <c r="A12" i="44"/>
  <c r="A50" i="44" s="1"/>
  <c r="A13" i="44"/>
  <c r="A51" i="44" s="1"/>
  <c r="A14" i="44"/>
  <c r="A52" i="44" s="1"/>
  <c r="A15" i="44"/>
  <c r="A53" i="44" s="1"/>
  <c r="A16" i="44"/>
  <c r="A54" i="44" s="1"/>
  <c r="D63" i="44"/>
  <c r="D221" i="48"/>
  <c r="D222" i="48" s="1"/>
  <c r="D223" i="48" s="1"/>
  <c r="D224" i="48" s="1"/>
  <c r="D225" i="48" s="1"/>
  <c r="D187" i="48"/>
  <c r="D188" i="48" s="1"/>
  <c r="D189" i="48"/>
  <c r="D190" i="48" s="1"/>
  <c r="D191" i="48" s="1"/>
  <c r="D192" i="48" s="1"/>
  <c r="D193" i="48" s="1"/>
  <c r="D194" i="48" s="1"/>
  <c r="D195" i="48" s="1"/>
  <c r="D196" i="48" s="1"/>
  <c r="D197" i="48" s="1"/>
  <c r="D198" i="48" s="1"/>
  <c r="D199" i="48" s="1"/>
  <c r="D200" i="48" s="1"/>
  <c r="D201" i="48" s="1"/>
  <c r="D202" i="48" s="1"/>
  <c r="D203" i="48" s="1"/>
  <c r="D204" i="48" s="1"/>
  <c r="D205" i="48" s="1"/>
  <c r="D206" i="48" s="1"/>
  <c r="D207" i="48" s="1"/>
  <c r="D208" i="48" s="1"/>
  <c r="D209" i="48" s="1"/>
  <c r="D210" i="48" s="1"/>
  <c r="D211" i="48" s="1"/>
  <c r="D212" i="48" s="1"/>
  <c r="D213" i="48" s="1"/>
  <c r="D214" i="48" s="1"/>
  <c r="D215" i="48" s="1"/>
  <c r="D216" i="48" s="1"/>
  <c r="D217" i="48" s="1"/>
  <c r="D218" i="48" s="1"/>
  <c r="D219" i="48" s="1"/>
  <c r="C220" i="48" s="1"/>
  <c r="C221" i="48" s="1"/>
  <c r="C222" i="48" s="1"/>
  <c r="C223" i="48" s="1"/>
  <c r="C224" i="48" s="1"/>
  <c r="C225" i="48" s="1"/>
  <c r="C226" i="48" s="1"/>
  <c r="C227" i="48" s="1"/>
  <c r="D153" i="48"/>
  <c r="D154" i="48"/>
  <c r="D155" i="48" s="1"/>
  <c r="D156" i="48" s="1"/>
  <c r="D157" i="48" s="1"/>
  <c r="D158" i="48" s="1"/>
  <c r="D159" i="48" s="1"/>
  <c r="D160" i="48" s="1"/>
  <c r="D161" i="48" s="1"/>
  <c r="D162" i="48" s="1"/>
  <c r="D119" i="48"/>
  <c r="D120" i="48" s="1"/>
  <c r="D121" i="48"/>
  <c r="D122" i="48" s="1"/>
  <c r="D123" i="48" s="1"/>
  <c r="D85" i="48"/>
  <c r="C85" i="48"/>
  <c r="B85" i="48"/>
  <c r="I84" i="48"/>
  <c r="E84" i="48"/>
  <c r="K84" i="48" s="1"/>
  <c r="O83" i="48"/>
  <c r="N83" i="48"/>
  <c r="K83" i="48"/>
  <c r="G83" i="48"/>
  <c r="M83" i="48"/>
  <c r="F83" i="48"/>
  <c r="L83" i="48"/>
  <c r="O47" i="48"/>
  <c r="O48" i="48"/>
  <c r="O49" i="48" s="1"/>
  <c r="P45" i="48"/>
  <c r="D44" i="48"/>
  <c r="D45" i="48" s="1"/>
  <c r="D46" i="48" s="1"/>
  <c r="D47" i="48" s="1"/>
  <c r="D48" i="48" s="1"/>
  <c r="D49" i="48"/>
  <c r="D50" i="48" s="1"/>
  <c r="D51" i="48" s="1"/>
  <c r="D52" i="48" s="1"/>
  <c r="D53" i="48" s="1"/>
  <c r="D54" i="48" s="1"/>
  <c r="D55" i="48" s="1"/>
  <c r="D56" i="48" s="1"/>
  <c r="D57" i="48" s="1"/>
  <c r="D58" i="48" s="1"/>
  <c r="D59" i="48" s="1"/>
  <c r="D60" i="48"/>
  <c r="D61" i="48" s="1"/>
  <c r="D62" i="48" s="1"/>
  <c r="D63" i="48" s="1"/>
  <c r="D64" i="48" s="1"/>
  <c r="D65" i="48" s="1"/>
  <c r="D66" i="48" s="1"/>
  <c r="D67" i="48" s="1"/>
  <c r="D68" i="48" s="1"/>
  <c r="D69" i="48" s="1"/>
  <c r="D70" i="48" s="1"/>
  <c r="D71" i="48" s="1"/>
  <c r="D72" i="48" s="1"/>
  <c r="D73" i="48" s="1"/>
  <c r="D74" i="48" s="1"/>
  <c r="D75" i="48" s="1"/>
  <c r="D76" i="48" s="1"/>
  <c r="W43" i="48"/>
  <c r="W45" i="48"/>
  <c r="Q43" i="48"/>
  <c r="P41" i="48"/>
  <c r="M41" i="48"/>
  <c r="J41" i="48"/>
  <c r="G41" i="48"/>
  <c r="D41" i="48"/>
  <c r="AH40" i="48"/>
  <c r="AG40" i="48"/>
  <c r="AF40" i="48"/>
  <c r="AE40" i="48"/>
  <c r="AD40" i="48"/>
  <c r="AC40" i="48"/>
  <c r="AB40" i="48"/>
  <c r="AA40" i="48"/>
  <c r="Z40" i="48"/>
  <c r="Y40" i="48"/>
  <c r="X40" i="48"/>
  <c r="W40" i="48"/>
  <c r="V40" i="48"/>
  <c r="U40" i="48"/>
  <c r="T40" i="48"/>
  <c r="AH39" i="48"/>
  <c r="AG39" i="48"/>
  <c r="AF39" i="48"/>
  <c r="AE39" i="48"/>
  <c r="AD39" i="48"/>
  <c r="AC39" i="48"/>
  <c r="AB39" i="48"/>
  <c r="AA39" i="48"/>
  <c r="Z39" i="48"/>
  <c r="Y39" i="48"/>
  <c r="X39" i="48"/>
  <c r="W39" i="48"/>
  <c r="V39" i="48"/>
  <c r="U39" i="48"/>
  <c r="T39" i="48"/>
  <c r="AH38" i="48"/>
  <c r="AG38" i="48"/>
  <c r="AF38" i="48"/>
  <c r="AE38" i="48"/>
  <c r="AD38" i="48"/>
  <c r="AC38" i="48"/>
  <c r="AB38" i="48"/>
  <c r="AA38" i="48"/>
  <c r="Z38" i="48"/>
  <c r="Y38" i="48"/>
  <c r="X38" i="48"/>
  <c r="W38" i="48"/>
  <c r="V38" i="48"/>
  <c r="U38" i="48"/>
  <c r="T38" i="48"/>
  <c r="AH37" i="48"/>
  <c r="AG37" i="48"/>
  <c r="AF37" i="48"/>
  <c r="AE37" i="48"/>
  <c r="AD37" i="48"/>
  <c r="AC37" i="48"/>
  <c r="AB37" i="48"/>
  <c r="AA37" i="48"/>
  <c r="Z37" i="48"/>
  <c r="Y37" i="48"/>
  <c r="X37" i="48"/>
  <c r="W37" i="48"/>
  <c r="V37" i="48"/>
  <c r="U37" i="48"/>
  <c r="T37" i="48"/>
  <c r="AH36" i="48"/>
  <c r="AG36" i="48"/>
  <c r="AF36" i="48"/>
  <c r="AE36" i="48"/>
  <c r="AD36" i="48"/>
  <c r="AC36" i="48"/>
  <c r="AB36" i="48"/>
  <c r="AA36" i="48"/>
  <c r="Z36" i="48"/>
  <c r="Y36" i="48"/>
  <c r="X36" i="48"/>
  <c r="W36" i="48"/>
  <c r="V36" i="48"/>
  <c r="U36" i="48"/>
  <c r="T36" i="48"/>
  <c r="AH35" i="48"/>
  <c r="AG35" i="48"/>
  <c r="AF35" i="48"/>
  <c r="AE35" i="48"/>
  <c r="AD35" i="48"/>
  <c r="AC35" i="48"/>
  <c r="AB35" i="48"/>
  <c r="AA35" i="48"/>
  <c r="Z35" i="48"/>
  <c r="Y35" i="48"/>
  <c r="X35" i="48"/>
  <c r="W35" i="48"/>
  <c r="V35" i="48"/>
  <c r="U35" i="48"/>
  <c r="T35" i="48"/>
  <c r="AH34" i="48"/>
  <c r="AG34" i="48"/>
  <c r="AF34" i="48"/>
  <c r="AE34" i="48"/>
  <c r="AD34" i="48"/>
  <c r="AC34" i="48"/>
  <c r="AB34" i="48"/>
  <c r="AA34" i="48"/>
  <c r="Z34" i="48"/>
  <c r="Y34" i="48"/>
  <c r="X34" i="48"/>
  <c r="W34" i="48"/>
  <c r="V34" i="48"/>
  <c r="U34" i="48"/>
  <c r="T34" i="48"/>
  <c r="AH33" i="48"/>
  <c r="AG33" i="48"/>
  <c r="AF33" i="48"/>
  <c r="AE33" i="48"/>
  <c r="AD33" i="48"/>
  <c r="AC33" i="48"/>
  <c r="AB33" i="48"/>
  <c r="AA33" i="48"/>
  <c r="Z33" i="48"/>
  <c r="Y33" i="48"/>
  <c r="X33" i="48"/>
  <c r="W33" i="48"/>
  <c r="V33" i="48"/>
  <c r="U33" i="48"/>
  <c r="T33" i="48"/>
  <c r="AH32" i="48"/>
  <c r="AG32" i="48"/>
  <c r="AF32" i="48"/>
  <c r="AE32" i="48"/>
  <c r="AD32" i="48"/>
  <c r="AC32" i="48"/>
  <c r="AB32" i="48"/>
  <c r="AA32" i="48"/>
  <c r="Z32" i="48"/>
  <c r="Y32" i="48"/>
  <c r="X32" i="48"/>
  <c r="W32" i="48"/>
  <c r="V32" i="48"/>
  <c r="U32" i="48"/>
  <c r="T32" i="48"/>
  <c r="AH31" i="48"/>
  <c r="AG31" i="48"/>
  <c r="AF31" i="48"/>
  <c r="AE31" i="48"/>
  <c r="AD31" i="48"/>
  <c r="AC31" i="48"/>
  <c r="AB31" i="48"/>
  <c r="AA31" i="48"/>
  <c r="Z31" i="48"/>
  <c r="Y31" i="48"/>
  <c r="X31" i="48"/>
  <c r="W31" i="48"/>
  <c r="V31" i="48"/>
  <c r="U31" i="48"/>
  <c r="T31" i="48"/>
  <c r="AH30" i="48"/>
  <c r="AG30" i="48"/>
  <c r="AF30" i="48"/>
  <c r="AE30" i="48"/>
  <c r="AD30" i="48"/>
  <c r="AC30" i="48"/>
  <c r="AB30" i="48"/>
  <c r="AA30" i="48"/>
  <c r="Z30" i="48"/>
  <c r="Y30" i="48"/>
  <c r="X30" i="48"/>
  <c r="W30" i="48"/>
  <c r="V30" i="48"/>
  <c r="U30" i="48"/>
  <c r="T30" i="48"/>
  <c r="AH29" i="48"/>
  <c r="AG29" i="48"/>
  <c r="AF29" i="48"/>
  <c r="AE29" i="48"/>
  <c r="AD29" i="48"/>
  <c r="AC29" i="48"/>
  <c r="AB29" i="48"/>
  <c r="AA29" i="48"/>
  <c r="Z29" i="48"/>
  <c r="Y29" i="48"/>
  <c r="X29" i="48"/>
  <c r="W29" i="48"/>
  <c r="V29" i="48"/>
  <c r="U29" i="48"/>
  <c r="T29" i="48"/>
  <c r="AH28" i="48"/>
  <c r="AG28" i="48"/>
  <c r="AF28" i="48"/>
  <c r="AE28" i="48"/>
  <c r="AD28" i="48"/>
  <c r="AC28" i="48"/>
  <c r="AB28" i="48"/>
  <c r="AA28" i="48"/>
  <c r="Z28" i="48"/>
  <c r="Y28" i="48"/>
  <c r="X28" i="48"/>
  <c r="W28" i="48"/>
  <c r="V28" i="48"/>
  <c r="U28" i="48"/>
  <c r="T28" i="48"/>
  <c r="AH27" i="48"/>
  <c r="AG27" i="48"/>
  <c r="AF27" i="48"/>
  <c r="AE27" i="48"/>
  <c r="AD27" i="48"/>
  <c r="AC27" i="48"/>
  <c r="AB27" i="48"/>
  <c r="AA27" i="48"/>
  <c r="Z27" i="48"/>
  <c r="Y27" i="48"/>
  <c r="X27" i="48"/>
  <c r="W27" i="48"/>
  <c r="V27" i="48"/>
  <c r="U27" i="48"/>
  <c r="T27" i="48"/>
  <c r="AH26" i="48"/>
  <c r="AG26" i="48"/>
  <c r="AF26" i="48"/>
  <c r="AE26" i="48"/>
  <c r="AD26" i="48"/>
  <c r="AC26" i="48"/>
  <c r="AB26" i="48"/>
  <c r="AA26" i="48"/>
  <c r="Z26" i="48"/>
  <c r="Y26" i="48"/>
  <c r="X26" i="48"/>
  <c r="W26" i="48"/>
  <c r="V26" i="48"/>
  <c r="U26" i="48"/>
  <c r="T26" i="48"/>
  <c r="AH25" i="48"/>
  <c r="AG25" i="48"/>
  <c r="AF25" i="48"/>
  <c r="AE25" i="48"/>
  <c r="AD25" i="48"/>
  <c r="AC25" i="48"/>
  <c r="AB25" i="48"/>
  <c r="AA25" i="48"/>
  <c r="Z25" i="48"/>
  <c r="Y25" i="48"/>
  <c r="X25" i="48"/>
  <c r="W25" i="48"/>
  <c r="V25" i="48"/>
  <c r="U25" i="48"/>
  <c r="T25" i="48"/>
  <c r="AH24" i="48"/>
  <c r="AG24" i="48"/>
  <c r="AF24" i="48"/>
  <c r="AE24" i="48"/>
  <c r="AD24" i="48"/>
  <c r="AC24" i="48"/>
  <c r="AB24" i="48"/>
  <c r="AA24" i="48"/>
  <c r="Z24" i="48"/>
  <c r="Y24" i="48"/>
  <c r="X24" i="48"/>
  <c r="W24" i="48"/>
  <c r="V24" i="48"/>
  <c r="U24" i="48"/>
  <c r="T24" i="48"/>
  <c r="AH23" i="48"/>
  <c r="AG23" i="48"/>
  <c r="AF23" i="48"/>
  <c r="AE23" i="48"/>
  <c r="AD23" i="48"/>
  <c r="AC23" i="48"/>
  <c r="AB23" i="48"/>
  <c r="AA23" i="48"/>
  <c r="Z23" i="48"/>
  <c r="Y23" i="48"/>
  <c r="X23" i="48"/>
  <c r="W23" i="48"/>
  <c r="V23" i="48"/>
  <c r="U23" i="48"/>
  <c r="T23" i="48"/>
  <c r="AH22" i="48"/>
  <c r="AG22" i="48"/>
  <c r="AF22" i="48"/>
  <c r="AE22" i="48"/>
  <c r="AD22" i="48"/>
  <c r="AC22" i="48"/>
  <c r="AB22" i="48"/>
  <c r="AA22" i="48"/>
  <c r="Z22" i="48"/>
  <c r="Y22" i="48"/>
  <c r="X22" i="48"/>
  <c r="W22" i="48"/>
  <c r="V22" i="48"/>
  <c r="U22" i="48"/>
  <c r="T22" i="48"/>
  <c r="AH21" i="48"/>
  <c r="AG21" i="48"/>
  <c r="AF21" i="48"/>
  <c r="AE21" i="48"/>
  <c r="AD21" i="48"/>
  <c r="AC21" i="48"/>
  <c r="AB21" i="48"/>
  <c r="AA21" i="48"/>
  <c r="Z21" i="48"/>
  <c r="Y21" i="48"/>
  <c r="X21" i="48"/>
  <c r="W21" i="48"/>
  <c r="V21" i="48"/>
  <c r="U21" i="48"/>
  <c r="T21" i="48"/>
  <c r="AH20" i="48"/>
  <c r="AG20" i="48"/>
  <c r="AF20" i="48"/>
  <c r="AE20" i="48"/>
  <c r="AD20" i="48"/>
  <c r="AC20" i="48"/>
  <c r="AB20" i="48"/>
  <c r="AA20" i="48"/>
  <c r="Z20" i="48"/>
  <c r="Y20" i="48"/>
  <c r="X20" i="48"/>
  <c r="W20" i="48"/>
  <c r="V20" i="48"/>
  <c r="U20" i="48"/>
  <c r="T20" i="48"/>
  <c r="AH19" i="48"/>
  <c r="AG19" i="48"/>
  <c r="AF19" i="48"/>
  <c r="AE19" i="48"/>
  <c r="AD19" i="48"/>
  <c r="AC19" i="48"/>
  <c r="AB19" i="48"/>
  <c r="AA19" i="48"/>
  <c r="Z19" i="48"/>
  <c r="Y19" i="48"/>
  <c r="X19" i="48"/>
  <c r="W19" i="48"/>
  <c r="V19" i="48"/>
  <c r="U19" i="48"/>
  <c r="T19" i="48"/>
  <c r="AH18" i="48"/>
  <c r="AG18" i="48"/>
  <c r="AF18" i="48"/>
  <c r="AE18" i="48"/>
  <c r="AD18" i="48"/>
  <c r="AC18" i="48"/>
  <c r="AB18" i="48"/>
  <c r="AA18" i="48"/>
  <c r="Z18" i="48"/>
  <c r="Y18" i="48"/>
  <c r="X18" i="48"/>
  <c r="W18" i="48"/>
  <c r="V18" i="48"/>
  <c r="U18" i="48"/>
  <c r="T18" i="48"/>
  <c r="AH17" i="48"/>
  <c r="AG17" i="48"/>
  <c r="AF17" i="48"/>
  <c r="AE17" i="48"/>
  <c r="AD17" i="48"/>
  <c r="AC17" i="48"/>
  <c r="AB17" i="48"/>
  <c r="AA17" i="48"/>
  <c r="Z17" i="48"/>
  <c r="Y17" i="48"/>
  <c r="X17" i="48"/>
  <c r="W17" i="48"/>
  <c r="V17" i="48"/>
  <c r="U17" i="48"/>
  <c r="T17" i="48"/>
  <c r="AH16" i="48"/>
  <c r="AG16" i="48"/>
  <c r="AF16" i="48"/>
  <c r="AE16" i="48"/>
  <c r="AD16" i="48"/>
  <c r="AC16" i="48"/>
  <c r="AB16" i="48"/>
  <c r="AA16" i="48"/>
  <c r="Z16" i="48"/>
  <c r="Y16" i="48"/>
  <c r="X16" i="48"/>
  <c r="W16" i="48"/>
  <c r="V16" i="48"/>
  <c r="U16" i="48"/>
  <c r="T16" i="48"/>
  <c r="AH15" i="48"/>
  <c r="AG15" i="48"/>
  <c r="AF15" i="48"/>
  <c r="AE15" i="48"/>
  <c r="AD15" i="48"/>
  <c r="AC15" i="48"/>
  <c r="AB15" i="48"/>
  <c r="AA15" i="48"/>
  <c r="Z15" i="48"/>
  <c r="Y15" i="48"/>
  <c r="X15" i="48"/>
  <c r="W15" i="48"/>
  <c r="V15" i="48"/>
  <c r="U15" i="48"/>
  <c r="T15" i="48"/>
  <c r="AH14" i="48"/>
  <c r="AG14" i="48"/>
  <c r="AF14" i="48"/>
  <c r="AE14" i="48"/>
  <c r="AD14" i="48"/>
  <c r="AC14" i="48"/>
  <c r="AB14" i="48"/>
  <c r="AA14" i="48"/>
  <c r="Z14" i="48"/>
  <c r="Y14" i="48"/>
  <c r="X14" i="48"/>
  <c r="W14" i="48"/>
  <c r="V14" i="48"/>
  <c r="U14" i="48"/>
  <c r="T14" i="48"/>
  <c r="AH13" i="48"/>
  <c r="AG13" i="48"/>
  <c r="AF13" i="48"/>
  <c r="AE13" i="48"/>
  <c r="AD13" i="48"/>
  <c r="AC13" i="48"/>
  <c r="AB13" i="48"/>
  <c r="AA13" i="48"/>
  <c r="Z13" i="48"/>
  <c r="Y13" i="48"/>
  <c r="X13" i="48"/>
  <c r="W13" i="48"/>
  <c r="V13" i="48"/>
  <c r="U13" i="48"/>
  <c r="T13" i="48"/>
  <c r="AH12" i="48"/>
  <c r="AG12" i="48"/>
  <c r="AF12" i="48"/>
  <c r="AE12" i="48"/>
  <c r="AD12" i="48"/>
  <c r="AC12" i="48"/>
  <c r="AB12" i="48"/>
  <c r="AA12" i="48"/>
  <c r="Z12" i="48"/>
  <c r="Y12" i="48"/>
  <c r="X12" i="48"/>
  <c r="W12" i="48"/>
  <c r="V12" i="48"/>
  <c r="U12" i="48"/>
  <c r="T12" i="48"/>
  <c r="AH11" i="48"/>
  <c r="AG11" i="48"/>
  <c r="AF11" i="48"/>
  <c r="AE11" i="48"/>
  <c r="AD11" i="48"/>
  <c r="AC11" i="48"/>
  <c r="AB11" i="48"/>
  <c r="AA11" i="48"/>
  <c r="Z11" i="48"/>
  <c r="Y11" i="48"/>
  <c r="X11" i="48"/>
  <c r="W11" i="48"/>
  <c r="V11" i="48"/>
  <c r="U11" i="48"/>
  <c r="T11" i="48"/>
  <c r="AH10" i="48"/>
  <c r="AG10" i="48"/>
  <c r="AF10" i="48"/>
  <c r="AE10" i="48"/>
  <c r="AD10" i="48"/>
  <c r="AC10" i="48"/>
  <c r="AB10" i="48"/>
  <c r="AA10" i="48"/>
  <c r="Z10" i="48"/>
  <c r="Y10" i="48"/>
  <c r="X10" i="48"/>
  <c r="W10" i="48"/>
  <c r="V10" i="48"/>
  <c r="U10" i="48"/>
  <c r="T10" i="48"/>
  <c r="AH9" i="48"/>
  <c r="AG9" i="48"/>
  <c r="AF9" i="48"/>
  <c r="AE9" i="48"/>
  <c r="AD9" i="48"/>
  <c r="AC9" i="48"/>
  <c r="AB9" i="48"/>
  <c r="AA9" i="48"/>
  <c r="Z9" i="48"/>
  <c r="Y9" i="48"/>
  <c r="X9" i="48"/>
  <c r="W9" i="48"/>
  <c r="V9" i="48"/>
  <c r="U9" i="48"/>
  <c r="T9" i="48"/>
  <c r="AH8" i="48"/>
  <c r="AG8" i="48"/>
  <c r="AF8" i="48"/>
  <c r="AE8" i="48"/>
  <c r="AD8" i="48"/>
  <c r="AC8" i="48"/>
  <c r="AB8" i="48"/>
  <c r="AA8" i="48"/>
  <c r="Z8" i="48"/>
  <c r="Y8" i="48"/>
  <c r="X8" i="48"/>
  <c r="W8" i="48"/>
  <c r="V8" i="48"/>
  <c r="U8" i="48"/>
  <c r="T8" i="48"/>
  <c r="C8" i="48"/>
  <c r="AH7" i="48"/>
  <c r="AG7" i="48"/>
  <c r="AF7" i="48"/>
  <c r="AE7" i="48"/>
  <c r="AD7" i="48"/>
  <c r="AC7" i="48"/>
  <c r="AB7" i="48"/>
  <c r="AA7" i="48"/>
  <c r="Z7" i="48"/>
  <c r="Y7" i="48"/>
  <c r="X7" i="48"/>
  <c r="W7" i="48"/>
  <c r="V7" i="48"/>
  <c r="U7" i="48"/>
  <c r="T7" i="48"/>
  <c r="AH6" i="48"/>
  <c r="AH4" i="48" s="1"/>
  <c r="AG6" i="48"/>
  <c r="AG4" i="48" s="1"/>
  <c r="AF6" i="48"/>
  <c r="AF4" i="48" s="1"/>
  <c r="AE6" i="48"/>
  <c r="AD6" i="48"/>
  <c r="AC6" i="48"/>
  <c r="AB6" i="48"/>
  <c r="AA6" i="48"/>
  <c r="Z6" i="48"/>
  <c r="Y6" i="48"/>
  <c r="X6" i="48"/>
  <c r="X4" i="48" s="1"/>
  <c r="W6" i="48"/>
  <c r="V6" i="48"/>
  <c r="V4" i="48" s="1"/>
  <c r="U6" i="48"/>
  <c r="T6" i="48"/>
  <c r="AH5" i="48"/>
  <c r="AG5" i="48"/>
  <c r="AF5" i="48"/>
  <c r="AE5" i="48"/>
  <c r="AD5" i="48"/>
  <c r="AD4" i="48" s="1"/>
  <c r="AC5" i="48"/>
  <c r="AC4" i="48" s="1"/>
  <c r="AB5" i="48"/>
  <c r="AA5" i="48"/>
  <c r="AA4" i="48" s="1"/>
  <c r="Z5" i="48"/>
  <c r="Y5" i="48"/>
  <c r="Y4" i="48" s="1"/>
  <c r="X5" i="48"/>
  <c r="W5" i="48"/>
  <c r="V5" i="48"/>
  <c r="U5" i="48"/>
  <c r="T5" i="48"/>
  <c r="J5" i="32"/>
  <c r="J4" i="32"/>
  <c r="F5" i="32"/>
  <c r="Q6" i="32" s="1"/>
  <c r="G5" i="32"/>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E88" i="47" s="1"/>
  <c r="F87" i="47"/>
  <c r="E87" i="47" s="1"/>
  <c r="F83" i="47"/>
  <c r="E83" i="47" s="1"/>
  <c r="F97" i="47"/>
  <c r="E97" i="47" s="1"/>
  <c r="F99" i="47"/>
  <c r="E99" i="47" s="1"/>
  <c r="F98" i="47"/>
  <c r="E98" i="47" s="1"/>
  <c r="F100" i="47"/>
  <c r="E100" i="47" s="1"/>
  <c r="F101" i="47"/>
  <c r="E101" i="47" s="1"/>
  <c r="F102" i="47"/>
  <c r="E102" i="47" s="1"/>
  <c r="F103" i="47"/>
  <c r="E103" i="47" s="1"/>
  <c r="F104" i="47"/>
  <c r="E104" i="47" s="1"/>
  <c r="F105" i="47"/>
  <c r="E105" i="47" s="1"/>
  <c r="F106" i="47"/>
  <c r="E106" i="47" s="1"/>
  <c r="F107" i="47"/>
  <c r="E107" i="47" s="1"/>
  <c r="F108" i="47"/>
  <c r="F109" i="47"/>
  <c r="E109" i="47" s="1"/>
  <c r="F110" i="47"/>
  <c r="F111" i="47"/>
  <c r="E111" i="47" s="1"/>
  <c r="F112" i="47"/>
  <c r="F113" i="47"/>
  <c r="E113" i="47" s="1"/>
  <c r="F114" i="47"/>
  <c r="F115" i="47"/>
  <c r="F116" i="47"/>
  <c r="F117" i="47"/>
  <c r="F118" i="47"/>
  <c r="F119" i="47"/>
  <c r="F120" i="47"/>
  <c r="F121" i="47"/>
  <c r="F122" i="47"/>
  <c r="F123" i="47"/>
  <c r="F124" i="47"/>
  <c r="F125" i="47"/>
  <c r="F126" i="47"/>
  <c r="F127" i="47"/>
  <c r="E127" i="47" s="1"/>
  <c r="F128" i="47"/>
  <c r="E128" i="47" s="1"/>
  <c r="X128" i="47" s="1"/>
  <c r="F129" i="47"/>
  <c r="E129" i="47" s="1"/>
  <c r="AC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N6" i="32"/>
  <c r="AO5" i="32"/>
  <c r="AO4" i="32"/>
  <c r="AO6" i="32"/>
  <c r="AP4" i="32"/>
  <c r="AP6" i="32"/>
  <c r="AP7" i="32" s="1"/>
  <c r="AP5" i="32"/>
  <c r="G44" i="32"/>
  <c r="I44" i="32"/>
  <c r="H44" i="32"/>
  <c r="F44" i="32"/>
  <c r="E44" i="32"/>
  <c r="F48" i="32"/>
  <c r="G43" i="32"/>
  <c r="H43" i="32"/>
  <c r="I43" i="32"/>
  <c r="AA5" i="44"/>
  <c r="J35" i="44"/>
  <c r="J29" i="44"/>
  <c r="J72" i="44"/>
  <c r="B188" i="53"/>
  <c r="AO135" i="53"/>
  <c r="Q135" i="53"/>
  <c r="Q146" i="53" s="1"/>
  <c r="AD134" i="53"/>
  <c r="R134" i="53"/>
  <c r="AS131" i="53"/>
  <c r="AS142" i="53" s="1"/>
  <c r="AG131" i="53"/>
  <c r="AG142" i="53" s="1"/>
  <c r="U131" i="53"/>
  <c r="U142" i="53" s="1"/>
  <c r="V130" i="53"/>
  <c r="AU128" i="53"/>
  <c r="AU139" i="53" s="1"/>
  <c r="AI128" i="53"/>
  <c r="W128" i="53"/>
  <c r="W139" i="53" s="1"/>
  <c r="AV127" i="53"/>
  <c r="X127" i="53"/>
  <c r="AO134" i="53"/>
  <c r="AO145" i="53" s="1"/>
  <c r="Q134" i="53"/>
  <c r="Q145" i="53" s="1"/>
  <c r="AR131" i="53"/>
  <c r="AR142" i="53" s="1"/>
  <c r="AF131" i="53"/>
  <c r="AS130" i="53"/>
  <c r="AG130" i="53"/>
  <c r="U130" i="53"/>
  <c r="AT128" i="53"/>
  <c r="AT139" i="53" s="1"/>
  <c r="V128" i="53"/>
  <c r="V139" i="53" s="1"/>
  <c r="AU127" i="53"/>
  <c r="AI127" i="53"/>
  <c r="AM135" i="53"/>
  <c r="AB134" i="53"/>
  <c r="AE131" i="53"/>
  <c r="AE142" i="53" s="1"/>
  <c r="AR130" i="53"/>
  <c r="AS128" i="53"/>
  <c r="AS139" i="53" s="1"/>
  <c r="AG128" i="53"/>
  <c r="AG139" i="53" s="1"/>
  <c r="AH127" i="53"/>
  <c r="AL131" i="53"/>
  <c r="AL142" i="53" s="1"/>
  <c r="AB131" i="53"/>
  <c r="AB142" i="53" s="1"/>
  <c r="Y131" i="53"/>
  <c r="Y142" i="53" s="1"/>
  <c r="AM131" i="53"/>
  <c r="W131" i="53"/>
  <c r="W142" i="53" s="1"/>
  <c r="AO131" i="53"/>
  <c r="AO142" i="53"/>
  <c r="Z131" i="53"/>
  <c r="AR133" i="53"/>
  <c r="AR144" i="53"/>
  <c r="C85" i="53"/>
  <c r="C96" i="53" s="1"/>
  <c r="C155" i="53" s="1"/>
  <c r="S129" i="53"/>
  <c r="L130" i="53"/>
  <c r="L141" i="53" s="1"/>
  <c r="AU129" i="53"/>
  <c r="X129" i="53"/>
  <c r="Q129" i="53"/>
  <c r="N130" i="53"/>
  <c r="N141" i="53" s="1"/>
  <c r="J130" i="53"/>
  <c r="K131" i="53"/>
  <c r="L135" i="53"/>
  <c r="L146" i="53" s="1"/>
  <c r="L128" i="53"/>
  <c r="D21" i="39"/>
  <c r="W4" i="48"/>
  <c r="J127" i="53"/>
  <c r="N127" i="53"/>
  <c r="J135" i="53"/>
  <c r="D13" i="39"/>
  <c r="AE135" i="53"/>
  <c r="W135" i="53"/>
  <c r="W146" i="53"/>
  <c r="AR134" i="53"/>
  <c r="AR145" i="53" s="1"/>
  <c r="AJ134" i="53"/>
  <c r="T134" i="53"/>
  <c r="AO133" i="53"/>
  <c r="AO144" i="53"/>
  <c r="AQ131" i="53"/>
  <c r="AQ142" i="53" s="1"/>
  <c r="AI131" i="53"/>
  <c r="AI142" i="53"/>
  <c r="AA131" i="53"/>
  <c r="AA142" i="53"/>
  <c r="AV130" i="53"/>
  <c r="AV141" i="53" s="1"/>
  <c r="AN130" i="53"/>
  <c r="AF130" i="53"/>
  <c r="P130" i="53"/>
  <c r="L129" i="53"/>
  <c r="AO128" i="53"/>
  <c r="Y128" i="53"/>
  <c r="Y139" i="53" s="1"/>
  <c r="Q128" i="53"/>
  <c r="Q139" i="53" s="1"/>
  <c r="AT127" i="53"/>
  <c r="AL127" i="53"/>
  <c r="V127" i="53"/>
  <c r="B235" i="53"/>
  <c r="M134" i="53"/>
  <c r="P128" i="53"/>
  <c r="P139" i="53"/>
  <c r="M127" i="53"/>
  <c r="AG133" i="53"/>
  <c r="AG144" i="53" s="1"/>
  <c r="Y133" i="53"/>
  <c r="Y144" i="53" s="1"/>
  <c r="AQ133" i="53"/>
  <c r="AQ144" i="53" s="1"/>
  <c r="M135" i="53"/>
  <c r="Z133" i="53"/>
  <c r="Z144" i="53" s="1"/>
  <c r="T4" i="48"/>
  <c r="P46" i="48" s="1"/>
  <c r="F84" i="48" s="1"/>
  <c r="E85" i="48"/>
  <c r="K85" i="48"/>
  <c r="L85" i="48" s="1"/>
  <c r="AV144" i="53"/>
  <c r="O130" i="53"/>
  <c r="O141" i="53" s="1"/>
  <c r="T133" i="53"/>
  <c r="T144" i="53" s="1"/>
  <c r="V133" i="53"/>
  <c r="V144" i="53" s="1"/>
  <c r="U4" i="48"/>
  <c r="B86" i="48"/>
  <c r="J133" i="53"/>
  <c r="J144" i="53" s="1"/>
  <c r="Q133" i="53"/>
  <c r="Q144" i="53"/>
  <c r="AM6" i="32"/>
  <c r="AM7" i="32" s="1"/>
  <c r="AS133" i="53"/>
  <c r="AS144" i="53"/>
  <c r="AM133" i="53"/>
  <c r="AM144" i="53" s="1"/>
  <c r="AK133" i="53"/>
  <c r="AK144" i="53" s="1"/>
  <c r="S133" i="53"/>
  <c r="S144" i="53" s="1"/>
  <c r="B237" i="53"/>
  <c r="K134" i="53"/>
  <c r="N133" i="53"/>
  <c r="N144" i="53"/>
  <c r="AG6" i="32"/>
  <c r="AD6" i="32"/>
  <c r="AD7" i="32" s="1"/>
  <c r="AU133" i="53"/>
  <c r="AU144" i="53"/>
  <c r="AP133" i="53"/>
  <c r="AP144" i="53" s="1"/>
  <c r="AF133" i="53"/>
  <c r="AF144" i="53" s="1"/>
  <c r="AE133" i="53"/>
  <c r="AE144" i="53"/>
  <c r="AD133" i="53"/>
  <c r="AD144" i="53" s="1"/>
  <c r="W133" i="53"/>
  <c r="W144" i="53"/>
  <c r="D11" i="39"/>
  <c r="M128" i="53"/>
  <c r="M139" i="53" s="1"/>
  <c r="AA133" i="53"/>
  <c r="AA144" i="53" s="1"/>
  <c r="K133" i="53"/>
  <c r="K144" i="53" s="1"/>
  <c r="D255" i="53"/>
  <c r="I49" i="53"/>
  <c r="J128" i="53"/>
  <c r="J139" i="53" s="1"/>
  <c r="L133" i="53"/>
  <c r="L144" i="53" s="1"/>
  <c r="R133" i="53"/>
  <c r="R144" i="53"/>
  <c r="O127" i="53"/>
  <c r="AL133" i="53"/>
  <c r="AL144" i="53"/>
  <c r="AC133" i="53"/>
  <c r="AC144" i="53" s="1"/>
  <c r="AB133" i="53"/>
  <c r="AB144" i="53" s="1"/>
  <c r="U133" i="53"/>
  <c r="U144" i="53"/>
  <c r="AT146" i="53"/>
  <c r="AO146" i="53"/>
  <c r="AD142" i="53"/>
  <c r="P131" i="53"/>
  <c r="P142" i="53"/>
  <c r="M129" i="53"/>
  <c r="AO7" i="32"/>
  <c r="AN142" i="53"/>
  <c r="Z142" i="53"/>
  <c r="C81" i="53"/>
  <c r="C92" i="53" s="1"/>
  <c r="C151" i="53" s="1"/>
  <c r="AB4" i="48"/>
  <c r="AM142" i="53"/>
  <c r="AH142" i="53"/>
  <c r="V142" i="53"/>
  <c r="D263" i="53"/>
  <c r="B234" i="53"/>
  <c r="AU142" i="53"/>
  <c r="AE4" i="48"/>
  <c r="AH133" i="53"/>
  <c r="AH144" i="53" s="1"/>
  <c r="AF142" i="53"/>
  <c r="C112" i="53"/>
  <c r="C123" i="53"/>
  <c r="C134" i="53" s="1"/>
  <c r="C145" i="53" s="1"/>
  <c r="C169" i="53" s="1"/>
  <c r="C240" i="53" s="1"/>
  <c r="AA6" i="32"/>
  <c r="AA7" i="32" s="1"/>
  <c r="AP142" i="53"/>
  <c r="B241" i="53"/>
  <c r="E141" i="53"/>
  <c r="AJ139" i="53"/>
  <c r="AP139" i="53"/>
  <c r="AB139" i="53"/>
  <c r="C86" i="48"/>
  <c r="AO139" i="53"/>
  <c r="E145" i="53"/>
  <c r="J134" i="53"/>
  <c r="J145" i="53" s="1"/>
  <c r="K135" i="53"/>
  <c r="AF135" i="53"/>
  <c r="AF146" i="53" s="1"/>
  <c r="P135" i="53"/>
  <c r="T131" i="53"/>
  <c r="L131" i="53"/>
  <c r="L142" i="53" s="1"/>
  <c r="N129" i="53"/>
  <c r="Z128" i="53"/>
  <c r="Z139" i="53" s="1"/>
  <c r="W127" i="53"/>
  <c r="AH6" i="32"/>
  <c r="AH7" i="32" s="1"/>
  <c r="D86" i="48"/>
  <c r="O135" i="53"/>
  <c r="L134" i="53"/>
  <c r="S131" i="53"/>
  <c r="S142" i="53" s="1"/>
  <c r="C87" i="53"/>
  <c r="L4" i="53"/>
  <c r="D15" i="39"/>
  <c r="N135" i="53"/>
  <c r="AN133" i="53"/>
  <c r="AN144" i="53" s="1"/>
  <c r="P133" i="53"/>
  <c r="P144" i="53"/>
  <c r="R131" i="53"/>
  <c r="R142" i="53" s="1"/>
  <c r="AE130" i="53"/>
  <c r="AE141" i="53" s="1"/>
  <c r="AF128" i="53"/>
  <c r="AF139" i="53" s="1"/>
  <c r="AI139" i="53"/>
  <c r="AE139" i="53"/>
  <c r="AC139" i="53"/>
  <c r="J131" i="53"/>
  <c r="J142" i="53"/>
  <c r="O133" i="53"/>
  <c r="O144" i="53" s="1"/>
  <c r="Q131" i="53"/>
  <c r="Q142" i="53" s="1"/>
  <c r="O128" i="53"/>
  <c r="O139" i="53" s="1"/>
  <c r="T127" i="53"/>
  <c r="Z6" i="32"/>
  <c r="Z7" i="32" s="1"/>
  <c r="K7" i="53"/>
  <c r="AB135" i="53"/>
  <c r="AB146" i="53"/>
  <c r="AT133" i="53"/>
  <c r="AT144" i="53" s="1"/>
  <c r="AV131" i="53"/>
  <c r="AV142" i="53" s="1"/>
  <c r="X131" i="53"/>
  <c r="X142" i="53"/>
  <c r="M130" i="53"/>
  <c r="N128" i="53"/>
  <c r="N139" i="53" s="1"/>
  <c r="AA127" i="53"/>
  <c r="K6" i="32"/>
  <c r="AN139" i="53"/>
  <c r="AK139" i="53"/>
  <c r="AD139" i="53"/>
  <c r="D19" i="39"/>
  <c r="K67" i="53"/>
  <c r="K104" i="53" s="1"/>
  <c r="D9" i="39"/>
  <c r="J129" i="53"/>
  <c r="K130" i="53"/>
  <c r="AA135" i="53"/>
  <c r="AA146" i="53"/>
  <c r="P134" i="53"/>
  <c r="O131" i="53"/>
  <c r="O142" i="53" s="1"/>
  <c r="T130" i="53"/>
  <c r="O134" i="53"/>
  <c r="T128" i="53"/>
  <c r="T139" i="53" s="1"/>
  <c r="AG127" i="53"/>
  <c r="AI6" i="32"/>
  <c r="AI7" i="32" s="1"/>
  <c r="M94" i="32"/>
  <c r="M73" i="32" s="1"/>
  <c r="L73" i="32"/>
  <c r="L80" i="32" s="1"/>
  <c r="C88" i="53"/>
  <c r="K22" i="53"/>
  <c r="K127" i="53"/>
  <c r="K128" i="53"/>
  <c r="K139" i="53" s="1"/>
  <c r="AT134" i="53"/>
  <c r="N134" i="53"/>
  <c r="AI133" i="53"/>
  <c r="AI144" i="53" s="1"/>
  <c r="AK131" i="53"/>
  <c r="AK142" i="53" s="1"/>
  <c r="AC131" i="53"/>
  <c r="AC142" i="53" s="1"/>
  <c r="M131" i="53"/>
  <c r="AP130" i="53"/>
  <c r="AM129" i="53"/>
  <c r="O129" i="53"/>
  <c r="AQ128" i="53"/>
  <c r="AQ139" i="53" s="1"/>
  <c r="AA128" i="53"/>
  <c r="AA139" i="53"/>
  <c r="S128" i="53"/>
  <c r="S139" i="53" s="1"/>
  <c r="P127" i="53"/>
  <c r="AA14" i="44"/>
  <c r="X21" i="44"/>
  <c r="X13" i="44"/>
  <c r="AA9" i="44"/>
  <c r="Z7" i="44"/>
  <c r="D36" i="52"/>
  <c r="N41" i="52"/>
  <c r="N47" i="52"/>
  <c r="G38" i="52"/>
  <c r="S38" i="52"/>
  <c r="O39" i="52"/>
  <c r="K40" i="52"/>
  <c r="G41" i="52"/>
  <c r="S41" i="52"/>
  <c r="O42" i="52"/>
  <c r="K43" i="52"/>
  <c r="G44" i="52"/>
  <c r="S44" i="52"/>
  <c r="O45" i="52"/>
  <c r="K46" i="52"/>
  <c r="G47" i="52"/>
  <c r="S47" i="52"/>
  <c r="O48" i="52"/>
  <c r="K49" i="52"/>
  <c r="G50" i="52"/>
  <c r="S50" i="52"/>
  <c r="O51" i="52"/>
  <c r="K52" i="52"/>
  <c r="P36" i="52"/>
  <c r="P39" i="52"/>
  <c r="P42" i="52"/>
  <c r="P45" i="52"/>
  <c r="P48" i="52"/>
  <c r="P51" i="52"/>
  <c r="O36" i="52"/>
  <c r="K37" i="52"/>
  <c r="H37" i="52"/>
  <c r="L45" i="52"/>
  <c r="L51" i="52"/>
  <c r="K44" i="52"/>
  <c r="P52" i="52"/>
  <c r="O38" i="52"/>
  <c r="O50" i="52"/>
  <c r="Q49" i="52"/>
  <c r="F37" i="52"/>
  <c r="R46" i="52"/>
  <c r="H36" i="52"/>
  <c r="L44" i="52"/>
  <c r="D52" i="52"/>
  <c r="I42" i="52"/>
  <c r="E49" i="52"/>
  <c r="Q52" i="52"/>
  <c r="D43" i="52"/>
  <c r="P49" i="52"/>
  <c r="Q37" i="52"/>
  <c r="M41" i="52"/>
  <c r="S36" i="52"/>
  <c r="S48" i="52"/>
  <c r="F46" i="52"/>
  <c r="J52" i="52"/>
  <c r="R39" i="52"/>
  <c r="E143" i="53"/>
  <c r="O132" i="53"/>
  <c r="K132" i="53"/>
  <c r="K143" i="53" s="1"/>
  <c r="T132" i="53"/>
  <c r="M132" i="53"/>
  <c r="M143" i="53" s="1"/>
  <c r="V132" i="53"/>
  <c r="V143" i="53" s="1"/>
  <c r="Y132" i="53"/>
  <c r="Y143" i="53" s="1"/>
  <c r="AA132" i="53"/>
  <c r="AS132" i="53"/>
  <c r="AS143" i="53" s="1"/>
  <c r="U132" i="53"/>
  <c r="U143" i="53" s="1"/>
  <c r="AE132" i="53"/>
  <c r="N132" i="53"/>
  <c r="AG132" i="53"/>
  <c r="S132" i="53"/>
  <c r="AC132" i="53"/>
  <c r="AC143" i="53" s="1"/>
  <c r="AB132" i="53"/>
  <c r="AK132" i="53"/>
  <c r="AK143" i="53" s="1"/>
  <c r="AM132" i="53"/>
  <c r="AI132" i="53"/>
  <c r="AI143" i="53" s="1"/>
  <c r="AH132" i="53"/>
  <c r="AH143" i="53" s="1"/>
  <c r="AJ132" i="53"/>
  <c r="AJ143" i="53" s="1"/>
  <c r="AD132" i="53"/>
  <c r="AD143" i="53" s="1"/>
  <c r="AQ132" i="53"/>
  <c r="AV132" i="53"/>
  <c r="Z132" i="53"/>
  <c r="AN132" i="53"/>
  <c r="AF132" i="53"/>
  <c r="AF143" i="53" s="1"/>
  <c r="AL132" i="53"/>
  <c r="AL143" i="53" s="1"/>
  <c r="AR132" i="53"/>
  <c r="AR143" i="53" s="1"/>
  <c r="AT132" i="53"/>
  <c r="AP132" i="53"/>
  <c r="AP143" i="53" s="1"/>
  <c r="AO132" i="53"/>
  <c r="D253" i="53"/>
  <c r="B238" i="53"/>
  <c r="H48" i="32"/>
  <c r="E108" i="47"/>
  <c r="G48" i="32"/>
  <c r="M85" i="48"/>
  <c r="R43" i="48"/>
  <c r="X43" i="48"/>
  <c r="X45" i="48" s="1"/>
  <c r="Q45" i="48"/>
  <c r="Q46" i="48" s="1"/>
  <c r="D124" i="48"/>
  <c r="D125" i="48" s="1"/>
  <c r="D126" i="48" s="1"/>
  <c r="O50" i="48"/>
  <c r="O51" i="48" s="1"/>
  <c r="E42" i="44"/>
  <c r="L21" i="32" s="1"/>
  <c r="K21" i="32"/>
  <c r="K3" i="53"/>
  <c r="D10" i="39"/>
  <c r="C82" i="53"/>
  <c r="C106" i="53"/>
  <c r="C117" i="53"/>
  <c r="C128" i="53" s="1"/>
  <c r="C139" i="53" s="1"/>
  <c r="C163" i="53" s="1"/>
  <c r="C234" i="53" s="1"/>
  <c r="I85" i="48"/>
  <c r="C178" i="53"/>
  <c r="C190" i="53" s="1"/>
  <c r="C201" i="53" s="1"/>
  <c r="C212" i="53" s="1"/>
  <c r="C224" i="53" s="1"/>
  <c r="AU132" i="53"/>
  <c r="AU143" i="53" s="1"/>
  <c r="W132" i="53"/>
  <c r="D25" i="39"/>
  <c r="C98" i="53"/>
  <c r="C157" i="53" s="1"/>
  <c r="M146" i="53"/>
  <c r="J132" i="53"/>
  <c r="D259" i="53"/>
  <c r="B187" i="53"/>
  <c r="B198" i="53" s="1"/>
  <c r="B209" i="53" s="1"/>
  <c r="B221" i="53" s="1"/>
  <c r="C95" i="53"/>
  <c r="C154" i="53" s="1"/>
  <c r="D22" i="39"/>
  <c r="Q132" i="53"/>
  <c r="I51" i="53"/>
  <c r="B51" i="53"/>
  <c r="D14" i="39"/>
  <c r="C86" i="53"/>
  <c r="D24" i="39" s="1"/>
  <c r="C110" i="53"/>
  <c r="C121" i="53" s="1"/>
  <c r="C132" i="53"/>
  <c r="C143" i="53" s="1"/>
  <c r="C167" i="53" s="1"/>
  <c r="P132" i="53"/>
  <c r="P143" i="53" s="1"/>
  <c r="D265" i="53"/>
  <c r="B204" i="53"/>
  <c r="B215" i="53" s="1"/>
  <c r="B227" i="53" s="1"/>
  <c r="C182" i="53"/>
  <c r="C194" i="53" s="1"/>
  <c r="C205" i="53" s="1"/>
  <c r="C216" i="53" s="1"/>
  <c r="C228" i="53" s="1"/>
  <c r="C174" i="53"/>
  <c r="C186" i="53" s="1"/>
  <c r="C197" i="53" s="1"/>
  <c r="C208" i="53" s="1"/>
  <c r="C220" i="53" s="1"/>
  <c r="C233" i="53"/>
  <c r="I50" i="53"/>
  <c r="B50" i="53"/>
  <c r="T142" i="53"/>
  <c r="R132" i="53"/>
  <c r="D266" i="53"/>
  <c r="B194" i="53"/>
  <c r="L139" i="53"/>
  <c r="X132" i="53"/>
  <c r="X143" i="53" s="1"/>
  <c r="L132" i="53"/>
  <c r="M142" i="53"/>
  <c r="D261" i="53"/>
  <c r="B189" i="53"/>
  <c r="B200" i="53" s="1"/>
  <c r="B211" i="53" s="1"/>
  <c r="B223" i="53" s="1"/>
  <c r="K142" i="53"/>
  <c r="R139" i="53"/>
  <c r="B190" i="53"/>
  <c r="B201" i="53" s="1"/>
  <c r="B212" i="53" s="1"/>
  <c r="B224" i="53" s="1"/>
  <c r="D262" i="53"/>
  <c r="B214" i="53"/>
  <c r="B199" i="53"/>
  <c r="D38" i="52"/>
  <c r="H46" i="52"/>
  <c r="H49" i="52"/>
  <c r="D50" i="52"/>
  <c r="P50" i="52"/>
  <c r="D12" i="39"/>
  <c r="C108" i="53"/>
  <c r="C119" i="53" s="1"/>
  <c r="C130" i="53" s="1"/>
  <c r="C141" i="53" s="1"/>
  <c r="C165" i="53" s="1"/>
  <c r="C236" i="53" s="1"/>
  <c r="B186" i="53"/>
  <c r="C89" i="53"/>
  <c r="D17" i="39"/>
  <c r="E46" i="52"/>
  <c r="L127" i="53"/>
  <c r="B233" i="53"/>
  <c r="J7" i="53"/>
  <c r="J8" i="53" s="1"/>
  <c r="J88" i="53" s="1"/>
  <c r="M133" i="53"/>
  <c r="M144" i="53" s="1"/>
  <c r="H91" i="53"/>
  <c r="H69" i="53"/>
  <c r="H88" i="53" s="1"/>
  <c r="C107" i="53"/>
  <c r="C118" i="53" s="1"/>
  <c r="C129" i="53" s="1"/>
  <c r="C140" i="53" s="1"/>
  <c r="C164" i="53" s="1"/>
  <c r="E86" i="48"/>
  <c r="K86" i="48"/>
  <c r="O86" i="48" s="1"/>
  <c r="C181" i="53"/>
  <c r="C193" i="53" s="1"/>
  <c r="C204" i="53" s="1"/>
  <c r="C215" i="53" s="1"/>
  <c r="C227" i="53" s="1"/>
  <c r="AU141" i="53"/>
  <c r="I86" i="48"/>
  <c r="T141" i="53"/>
  <c r="AR141" i="53"/>
  <c r="AF145" i="53"/>
  <c r="AS145" i="53"/>
  <c r="AD145" i="53"/>
  <c r="P145" i="53"/>
  <c r="AH145" i="53"/>
  <c r="V145" i="53"/>
  <c r="O145" i="53"/>
  <c r="AE145" i="53"/>
  <c r="W141" i="53"/>
  <c r="AB145" i="53"/>
  <c r="W143" i="53"/>
  <c r="S143" i="53"/>
  <c r="Y141" i="53"/>
  <c r="U141" i="53"/>
  <c r="AF141" i="53"/>
  <c r="AL141" i="53"/>
  <c r="AJ141" i="53"/>
  <c r="AN143" i="53"/>
  <c r="AM143" i="53"/>
  <c r="O143" i="53"/>
  <c r="AC145" i="53"/>
  <c r="AJ145" i="53"/>
  <c r="Z145" i="53"/>
  <c r="AL145" i="53"/>
  <c r="AN145" i="53"/>
  <c r="L145" i="53"/>
  <c r="J76" i="44"/>
  <c r="K76" i="44" s="1"/>
  <c r="M145" i="53"/>
  <c r="S145" i="53"/>
  <c r="R145" i="53"/>
  <c r="W145" i="53"/>
  <c r="X145" i="53"/>
  <c r="N94" i="32"/>
  <c r="N73" i="32" s="1"/>
  <c r="M80" i="32"/>
  <c r="U145" i="53"/>
  <c r="AP145" i="53"/>
  <c r="AO143" i="53"/>
  <c r="AA143" i="53"/>
  <c r="N145" i="53"/>
  <c r="Y145" i="53"/>
  <c r="AK145" i="53"/>
  <c r="AG145" i="53"/>
  <c r="K145" i="53"/>
  <c r="AQ145" i="53"/>
  <c r="F42" i="44"/>
  <c r="AT143" i="53"/>
  <c r="Q143" i="53"/>
  <c r="J143" i="53"/>
  <c r="S43" i="48"/>
  <c r="S45" i="48" s="1"/>
  <c r="R45" i="48"/>
  <c r="Y43" i="48"/>
  <c r="Y45" i="48"/>
  <c r="AB143" i="53"/>
  <c r="T143" i="53"/>
  <c r="B197" i="53"/>
  <c r="C100" i="53"/>
  <c r="C159" i="53" s="1"/>
  <c r="D27" i="39"/>
  <c r="B205" i="53"/>
  <c r="B216" i="53" s="1"/>
  <c r="B228" i="53" s="1"/>
  <c r="B226" i="53"/>
  <c r="AV143" i="53"/>
  <c r="AQ143" i="53"/>
  <c r="AE143" i="53"/>
  <c r="B210" i="53"/>
  <c r="B222" i="53" s="1"/>
  <c r="C93" i="53"/>
  <c r="C152" i="53"/>
  <c r="D20" i="39"/>
  <c r="D226" i="48"/>
  <c r="D227" i="48" s="1"/>
  <c r="D228" i="48" s="1"/>
  <c r="D229" i="48" s="1"/>
  <c r="B213" i="53"/>
  <c r="L143" i="53"/>
  <c r="N80" i="32"/>
  <c r="Z43" i="48"/>
  <c r="Z45" i="48" s="1"/>
  <c r="B208" i="53"/>
  <c r="B220" i="53" s="1"/>
  <c r="B225" i="53"/>
  <c r="L76" i="44"/>
  <c r="M76" i="44" s="1"/>
  <c r="N76" i="44" s="1"/>
  <c r="O76" i="44" s="1"/>
  <c r="P76" i="44" s="1"/>
  <c r="Q76" i="44" s="1"/>
  <c r="K77" i="44"/>
  <c r="D230" i="48"/>
  <c r="D231" i="48" s="1"/>
  <c r="D232" i="48" s="1"/>
  <c r="E33" i="29"/>
  <c r="J33" i="29" s="1"/>
  <c r="J47" i="29" s="1"/>
  <c r="J36" i="29"/>
  <c r="J51" i="29" s="1"/>
  <c r="AK106" i="47" l="1"/>
  <c r="AL106" i="47"/>
  <c r="Z106" i="47"/>
  <c r="N106" i="47"/>
  <c r="AB106" i="47"/>
  <c r="P106" i="47"/>
  <c r="AA106" i="47"/>
  <c r="AC106" i="47"/>
  <c r="R106" i="47"/>
  <c r="S106" i="47"/>
  <c r="H106" i="47"/>
  <c r="AF106" i="47"/>
  <c r="U106" i="47"/>
  <c r="J106" i="47"/>
  <c r="AH106" i="47"/>
  <c r="W106" i="47"/>
  <c r="X106" i="47"/>
  <c r="M106" i="47"/>
  <c r="O106" i="47"/>
  <c r="AM106" i="47"/>
  <c r="Q106" i="47"/>
  <c r="AD106" i="47"/>
  <c r="G106" i="47"/>
  <c r="AE106" i="47"/>
  <c r="T106" i="47"/>
  <c r="I106" i="47"/>
  <c r="AG106" i="47"/>
  <c r="V106" i="47"/>
  <c r="K106" i="47"/>
  <c r="AI106" i="47"/>
  <c r="L106" i="47"/>
  <c r="AJ106" i="47"/>
  <c r="Y106" i="47"/>
  <c r="AC102" i="47"/>
  <c r="AD102" i="47"/>
  <c r="R102" i="47"/>
  <c r="S102" i="47"/>
  <c r="H102" i="47"/>
  <c r="AF102" i="47"/>
  <c r="I102" i="47"/>
  <c r="AG102" i="47"/>
  <c r="V102" i="47"/>
  <c r="K102" i="47"/>
  <c r="AI102" i="47"/>
  <c r="L102" i="47"/>
  <c r="AJ102" i="47"/>
  <c r="Y102" i="47"/>
  <c r="N102" i="47"/>
  <c r="AL102" i="47"/>
  <c r="AA102" i="47"/>
  <c r="P102" i="47"/>
  <c r="G102" i="47"/>
  <c r="AE102" i="47"/>
  <c r="T102" i="47"/>
  <c r="U102" i="47"/>
  <c r="J102" i="47"/>
  <c r="AH102" i="47"/>
  <c r="W102" i="47"/>
  <c r="X102" i="47"/>
  <c r="M102" i="47"/>
  <c r="AK102" i="47"/>
  <c r="Z102" i="47"/>
  <c r="O102" i="47"/>
  <c r="AM102" i="47"/>
  <c r="AB102" i="47"/>
  <c r="Q102" i="47"/>
  <c r="AM99" i="47"/>
  <c r="P99" i="47"/>
  <c r="AB99" i="47"/>
  <c r="Q99" i="47"/>
  <c r="AD99" i="47"/>
  <c r="S99" i="47"/>
  <c r="H99" i="47"/>
  <c r="AF99" i="47"/>
  <c r="I99" i="47"/>
  <c r="AG99" i="47"/>
  <c r="J99" i="47"/>
  <c r="AH99" i="47"/>
  <c r="K99" i="47"/>
  <c r="AI99" i="47"/>
  <c r="X99" i="47"/>
  <c r="AC99" i="47"/>
  <c r="R99" i="47"/>
  <c r="G99" i="47"/>
  <c r="AE99" i="47"/>
  <c r="T99" i="47"/>
  <c r="U99" i="47"/>
  <c r="V99" i="47"/>
  <c r="W99" i="47"/>
  <c r="L99" i="47"/>
  <c r="AJ99" i="47"/>
  <c r="Y99" i="47"/>
  <c r="N99" i="47"/>
  <c r="AL99" i="47"/>
  <c r="O99" i="47"/>
  <c r="M99" i="47"/>
  <c r="AK99" i="47"/>
  <c r="Z99" i="47"/>
  <c r="AA99" i="47"/>
  <c r="AG104" i="47"/>
  <c r="AJ104" i="47"/>
  <c r="X104" i="47"/>
  <c r="L104" i="47"/>
  <c r="AH104" i="47"/>
  <c r="J104" i="47"/>
  <c r="V104" i="47"/>
  <c r="W104" i="47"/>
  <c r="M104" i="47"/>
  <c r="AK104" i="47"/>
  <c r="Z104" i="47"/>
  <c r="O104" i="47"/>
  <c r="AM104" i="47"/>
  <c r="P104" i="47"/>
  <c r="AC104" i="47"/>
  <c r="R104" i="47"/>
  <c r="G104" i="47"/>
  <c r="AE104" i="47"/>
  <c r="H104" i="47"/>
  <c r="AF104" i="47"/>
  <c r="I104" i="47"/>
  <c r="K104" i="47"/>
  <c r="AI104" i="47"/>
  <c r="Y104" i="47"/>
  <c r="N104" i="47"/>
  <c r="AL104" i="47"/>
  <c r="AA104" i="47"/>
  <c r="AB104" i="47"/>
  <c r="Q104" i="47"/>
  <c r="AD104" i="47"/>
  <c r="S104" i="47"/>
  <c r="T104" i="47"/>
  <c r="U104" i="47"/>
  <c r="AM100" i="47"/>
  <c r="AK100" i="47"/>
  <c r="AI100" i="47"/>
  <c r="AG100" i="47"/>
  <c r="AE100" i="47"/>
  <c r="AL100" i="47"/>
  <c r="AH100" i="47"/>
  <c r="AD100" i="47"/>
  <c r="AB100" i="47"/>
  <c r="Z100" i="47"/>
  <c r="X100" i="47"/>
  <c r="V100" i="47"/>
  <c r="T100" i="47"/>
  <c r="R100" i="47"/>
  <c r="P100" i="47"/>
  <c r="N100" i="47"/>
  <c r="L100" i="47"/>
  <c r="J100" i="47"/>
  <c r="H100" i="47"/>
  <c r="AJ100" i="47"/>
  <c r="AF100" i="47"/>
  <c r="AC100" i="47"/>
  <c r="AA100" i="47"/>
  <c r="Y100" i="47"/>
  <c r="W100" i="47"/>
  <c r="U100" i="47"/>
  <c r="S100" i="47"/>
  <c r="Q100" i="47"/>
  <c r="O100" i="47"/>
  <c r="M100" i="47"/>
  <c r="K100" i="47"/>
  <c r="I100" i="47"/>
  <c r="G100" i="47"/>
  <c r="AG96" i="47"/>
  <c r="V96" i="47"/>
  <c r="AH96" i="47"/>
  <c r="J96" i="47"/>
  <c r="K96" i="47"/>
  <c r="AI96" i="47"/>
  <c r="L96" i="47"/>
  <c r="AJ96" i="47"/>
  <c r="M96" i="47"/>
  <c r="AK96" i="47"/>
  <c r="Z96" i="47"/>
  <c r="AA96" i="47"/>
  <c r="P96" i="47"/>
  <c r="AC96" i="47"/>
  <c r="AD96" i="47"/>
  <c r="W96" i="47"/>
  <c r="X96" i="47"/>
  <c r="Y96" i="47"/>
  <c r="N96" i="47"/>
  <c r="AL96" i="47"/>
  <c r="O96" i="47"/>
  <c r="AM96" i="47"/>
  <c r="AB96" i="47"/>
  <c r="Q96" i="47"/>
  <c r="R96" i="47"/>
  <c r="G96" i="47"/>
  <c r="AE96" i="47"/>
  <c r="H96" i="47"/>
  <c r="AF96" i="47"/>
  <c r="I96" i="47"/>
  <c r="S96" i="47"/>
  <c r="T96" i="47"/>
  <c r="U96" i="47"/>
  <c r="AC94" i="47"/>
  <c r="R94" i="47"/>
  <c r="G94" i="47"/>
  <c r="AE94" i="47"/>
  <c r="T94" i="47"/>
  <c r="U94" i="47"/>
  <c r="J94" i="47"/>
  <c r="AH94" i="47"/>
  <c r="W94" i="47"/>
  <c r="X94" i="47"/>
  <c r="Y94" i="47"/>
  <c r="N94" i="47"/>
  <c r="AL94" i="47"/>
  <c r="AD94" i="47"/>
  <c r="S94" i="47"/>
  <c r="H94" i="47"/>
  <c r="AF94" i="47"/>
  <c r="I94" i="47"/>
  <c r="AG94" i="47"/>
  <c r="V94" i="47"/>
  <c r="K94" i="47"/>
  <c r="AI94" i="47"/>
  <c r="L94" i="47"/>
  <c r="AJ94" i="47"/>
  <c r="M94" i="47"/>
  <c r="AK94" i="47"/>
  <c r="Z94" i="47"/>
  <c r="AA94" i="47"/>
  <c r="P94" i="47"/>
  <c r="O94" i="47"/>
  <c r="AM94" i="47"/>
  <c r="AB94" i="47"/>
  <c r="Q94" i="47"/>
  <c r="AK92" i="47"/>
  <c r="AI92" i="47"/>
  <c r="AC92" i="47"/>
  <c r="Z92" i="47"/>
  <c r="V92" i="47"/>
  <c r="P92" i="47"/>
  <c r="K92" i="47"/>
  <c r="AL92" i="47"/>
  <c r="AB92" i="47"/>
  <c r="Q92" i="47"/>
  <c r="J92" i="47"/>
  <c r="AH92" i="47"/>
  <c r="W92" i="47"/>
  <c r="N92" i="47"/>
  <c r="AA92" i="47"/>
  <c r="AD92" i="47"/>
  <c r="S92" i="47"/>
  <c r="T92" i="47"/>
  <c r="U92" i="47"/>
  <c r="O92" i="47"/>
  <c r="AM92" i="47"/>
  <c r="R92" i="47"/>
  <c r="G92" i="47"/>
  <c r="AE92" i="47"/>
  <c r="H92" i="47"/>
  <c r="AF92" i="47"/>
  <c r="I92" i="47"/>
  <c r="AG92" i="47"/>
  <c r="L92" i="47"/>
  <c r="AJ92" i="47"/>
  <c r="Y92" i="47"/>
  <c r="X92" i="47"/>
  <c r="M92" i="47"/>
  <c r="AG90" i="47"/>
  <c r="V90" i="47"/>
  <c r="AH90" i="47"/>
  <c r="J90" i="47"/>
  <c r="W90" i="47"/>
  <c r="L90" i="47"/>
  <c r="AJ90" i="47"/>
  <c r="Y90" i="47"/>
  <c r="N90" i="47"/>
  <c r="AL90" i="47"/>
  <c r="O90" i="47"/>
  <c r="AM90" i="47"/>
  <c r="AB90" i="47"/>
  <c r="Q90" i="47"/>
  <c r="AD90" i="47"/>
  <c r="G90" i="47"/>
  <c r="AE90" i="47"/>
  <c r="K90" i="47"/>
  <c r="AI90" i="47"/>
  <c r="X90" i="47"/>
  <c r="M90" i="47"/>
  <c r="AK90" i="47"/>
  <c r="Z90" i="47"/>
  <c r="AA90" i="47"/>
  <c r="P90" i="47"/>
  <c r="AC90" i="47"/>
  <c r="R90" i="47"/>
  <c r="S90" i="47"/>
  <c r="H90" i="47"/>
  <c r="AF90" i="47"/>
  <c r="U90" i="47"/>
  <c r="T90" i="47"/>
  <c r="I90" i="47"/>
  <c r="AM107" i="47"/>
  <c r="P107" i="47"/>
  <c r="AB107" i="47"/>
  <c r="Q107" i="47"/>
  <c r="AD107" i="47"/>
  <c r="S107" i="47"/>
  <c r="H107" i="47"/>
  <c r="AF107" i="47"/>
  <c r="I107" i="47"/>
  <c r="AG107" i="47"/>
  <c r="V107" i="47"/>
  <c r="K107" i="47"/>
  <c r="AI107" i="47"/>
  <c r="X107" i="47"/>
  <c r="M107" i="47"/>
  <c r="AK107" i="47"/>
  <c r="N107" i="47"/>
  <c r="AL107" i="47"/>
  <c r="O107" i="47"/>
  <c r="AC107" i="47"/>
  <c r="R107" i="47"/>
  <c r="G107" i="47"/>
  <c r="AE107" i="47"/>
  <c r="T107" i="47"/>
  <c r="U107" i="47"/>
  <c r="J107" i="47"/>
  <c r="AH107" i="47"/>
  <c r="W107" i="47"/>
  <c r="L107" i="47"/>
  <c r="AJ107" i="47"/>
  <c r="Y107" i="47"/>
  <c r="Z107" i="47"/>
  <c r="AA107" i="47"/>
  <c r="AE105" i="47"/>
  <c r="AM105" i="47"/>
  <c r="AJ105" i="47"/>
  <c r="AH105" i="47"/>
  <c r="AF105" i="47"/>
  <c r="AB105" i="47"/>
  <c r="Z105" i="47"/>
  <c r="W105" i="47"/>
  <c r="U105" i="47"/>
  <c r="Q105" i="47"/>
  <c r="O105" i="47"/>
  <c r="L105" i="47"/>
  <c r="J105" i="47"/>
  <c r="H105" i="47"/>
  <c r="AI105" i="47"/>
  <c r="AC105" i="47"/>
  <c r="X105" i="47"/>
  <c r="T105" i="47"/>
  <c r="N105" i="47"/>
  <c r="I105" i="47"/>
  <c r="AL105" i="47"/>
  <c r="AG105" i="47"/>
  <c r="AA105" i="47"/>
  <c r="V105" i="47"/>
  <c r="P105" i="47"/>
  <c r="K105" i="47"/>
  <c r="M105" i="47"/>
  <c r="AK105" i="47"/>
  <c r="R105" i="47"/>
  <c r="S105" i="47"/>
  <c r="Y105" i="47"/>
  <c r="AD105" i="47"/>
  <c r="G105" i="47"/>
  <c r="AE103" i="47"/>
  <c r="AF103" i="47"/>
  <c r="T103" i="47"/>
  <c r="J103" i="47"/>
  <c r="V103" i="47"/>
  <c r="H103" i="47"/>
  <c r="AH103" i="47"/>
  <c r="P103" i="47"/>
  <c r="I103" i="47"/>
  <c r="AG103" i="47"/>
  <c r="W103" i="47"/>
  <c r="L103" i="47"/>
  <c r="AJ103" i="47"/>
  <c r="Y103" i="47"/>
  <c r="Z103" i="47"/>
  <c r="O103" i="47"/>
  <c r="AM103" i="47"/>
  <c r="Q103" i="47"/>
  <c r="R103" i="47"/>
  <c r="G103" i="47"/>
  <c r="U103" i="47"/>
  <c r="K103" i="47"/>
  <c r="AI103" i="47"/>
  <c r="X103" i="47"/>
  <c r="M103" i="47"/>
  <c r="AK103" i="47"/>
  <c r="N103" i="47"/>
  <c r="AL103" i="47"/>
  <c r="AA103" i="47"/>
  <c r="AB103" i="47"/>
  <c r="AC103" i="47"/>
  <c r="AD103" i="47"/>
  <c r="S103" i="47"/>
  <c r="AM101" i="47"/>
  <c r="P101" i="47"/>
  <c r="AB101" i="47"/>
  <c r="AC101" i="47"/>
  <c r="R101" i="47"/>
  <c r="S101" i="47"/>
  <c r="H101" i="47"/>
  <c r="AF101" i="47"/>
  <c r="U101" i="47"/>
  <c r="V101" i="47"/>
  <c r="K101" i="47"/>
  <c r="AI101" i="47"/>
  <c r="X101" i="47"/>
  <c r="M101" i="47"/>
  <c r="AK101" i="47"/>
  <c r="Z101" i="47"/>
  <c r="AA101" i="47"/>
  <c r="Q101" i="47"/>
  <c r="AD101" i="47"/>
  <c r="G101" i="47"/>
  <c r="AE101" i="47"/>
  <c r="T101" i="47"/>
  <c r="I101" i="47"/>
  <c r="AG101" i="47"/>
  <c r="J101" i="47"/>
  <c r="AH101" i="47"/>
  <c r="W101" i="47"/>
  <c r="L101" i="47"/>
  <c r="AJ101" i="47"/>
  <c r="Y101" i="47"/>
  <c r="N101" i="47"/>
  <c r="AL101" i="47"/>
  <c r="O101" i="47"/>
  <c r="AI97" i="47"/>
  <c r="AL97" i="47"/>
  <c r="AG97" i="47"/>
  <c r="AB97" i="47"/>
  <c r="Z97" i="47"/>
  <c r="U97" i="47"/>
  <c r="P97" i="47"/>
  <c r="N97" i="47"/>
  <c r="I97" i="47"/>
  <c r="AJ97" i="47"/>
  <c r="AA97" i="47"/>
  <c r="T97" i="47"/>
  <c r="L97" i="47"/>
  <c r="AM97" i="47"/>
  <c r="AF97" i="47"/>
  <c r="X97" i="47"/>
  <c r="O97" i="47"/>
  <c r="H97" i="47"/>
  <c r="Y97" i="47"/>
  <c r="Q97" i="47"/>
  <c r="R97" i="47"/>
  <c r="S97" i="47"/>
  <c r="M97" i="47"/>
  <c r="AK97" i="47"/>
  <c r="AC97" i="47"/>
  <c r="AD97" i="47"/>
  <c r="G97" i="47"/>
  <c r="AE97" i="47"/>
  <c r="V97" i="47"/>
  <c r="K97" i="47"/>
  <c r="J97" i="47"/>
  <c r="AH97" i="47"/>
  <c r="W97" i="47"/>
  <c r="AE95" i="47"/>
  <c r="AJ95" i="47"/>
  <c r="AH95" i="47"/>
  <c r="AC95" i="47"/>
  <c r="Z95" i="47"/>
  <c r="W95" i="47"/>
  <c r="T95" i="47"/>
  <c r="P95" i="47"/>
  <c r="L95" i="47"/>
  <c r="J95" i="47"/>
  <c r="AL95" i="47"/>
  <c r="AF95" i="47"/>
  <c r="X95" i="47"/>
  <c r="Q95" i="47"/>
  <c r="K95" i="47"/>
  <c r="AI95" i="47"/>
  <c r="AB95" i="47"/>
  <c r="V95" i="47"/>
  <c r="N95" i="47"/>
  <c r="H95" i="47"/>
  <c r="U95" i="47"/>
  <c r="M95" i="47"/>
  <c r="AK95" i="47"/>
  <c r="O95" i="47"/>
  <c r="AM95" i="47"/>
  <c r="I95" i="47"/>
  <c r="AG95" i="47"/>
  <c r="Y95" i="47"/>
  <c r="AA95" i="47"/>
  <c r="R95" i="47"/>
  <c r="G95" i="47"/>
  <c r="AD95" i="47"/>
  <c r="S95" i="47"/>
  <c r="AM93" i="47"/>
  <c r="AB93" i="47"/>
  <c r="P93" i="47"/>
  <c r="Q93" i="47"/>
  <c r="AD93" i="47"/>
  <c r="G93" i="47"/>
  <c r="AE93" i="47"/>
  <c r="T93" i="47"/>
  <c r="I93" i="47"/>
  <c r="AG93" i="47"/>
  <c r="J93" i="47"/>
  <c r="AH93" i="47"/>
  <c r="K93" i="47"/>
  <c r="AI93" i="47"/>
  <c r="X93" i="47"/>
  <c r="Y93" i="47"/>
  <c r="AC93" i="47"/>
  <c r="R93" i="47"/>
  <c r="S93" i="47"/>
  <c r="H93" i="47"/>
  <c r="AF93" i="47"/>
  <c r="U93" i="47"/>
  <c r="V93" i="47"/>
  <c r="W93" i="47"/>
  <c r="L93" i="47"/>
  <c r="AJ93" i="47"/>
  <c r="M93" i="47"/>
  <c r="AK93" i="47"/>
  <c r="Z93" i="47"/>
  <c r="AA93" i="47"/>
  <c r="N93" i="47"/>
  <c r="AL93" i="47"/>
  <c r="O93" i="47"/>
  <c r="AI91" i="47"/>
  <c r="AL91" i="47"/>
  <c r="AG91" i="47"/>
  <c r="AB91" i="47"/>
  <c r="Z91" i="47"/>
  <c r="U91" i="47"/>
  <c r="P91" i="47"/>
  <c r="N91" i="47"/>
  <c r="I91" i="47"/>
  <c r="AJ91" i="47"/>
  <c r="AA91" i="47"/>
  <c r="T91" i="47"/>
  <c r="L91" i="47"/>
  <c r="AM91" i="47"/>
  <c r="AF91" i="47"/>
  <c r="X91" i="47"/>
  <c r="O91" i="47"/>
  <c r="H91" i="47"/>
  <c r="M91" i="47"/>
  <c r="AK91" i="47"/>
  <c r="AC91" i="47"/>
  <c r="AD91" i="47"/>
  <c r="G91" i="47"/>
  <c r="AE91" i="47"/>
  <c r="Y91" i="47"/>
  <c r="Q91" i="47"/>
  <c r="R91" i="47"/>
  <c r="S91" i="47"/>
  <c r="V91" i="47"/>
  <c r="W91" i="47"/>
  <c r="J91" i="47"/>
  <c r="AH91" i="47"/>
  <c r="K91" i="47"/>
  <c r="AE89" i="47"/>
  <c r="AJ89" i="47"/>
  <c r="AH89" i="47"/>
  <c r="AC89" i="47"/>
  <c r="Z89" i="47"/>
  <c r="W89" i="47"/>
  <c r="T89" i="47"/>
  <c r="P89" i="47"/>
  <c r="L89" i="47"/>
  <c r="J89" i="47"/>
  <c r="AL89" i="47"/>
  <c r="AF89" i="47"/>
  <c r="X89" i="47"/>
  <c r="Q89" i="47"/>
  <c r="K89" i="47"/>
  <c r="AI89" i="47"/>
  <c r="AB89" i="47"/>
  <c r="V89" i="47"/>
  <c r="N89" i="47"/>
  <c r="H89" i="47"/>
  <c r="I89" i="47"/>
  <c r="AG89" i="47"/>
  <c r="Y89" i="47"/>
  <c r="AA89" i="47"/>
  <c r="U89" i="47"/>
  <c r="M89" i="47"/>
  <c r="AK89" i="47"/>
  <c r="O89" i="47"/>
  <c r="AM89" i="47"/>
  <c r="R89" i="47"/>
  <c r="S89" i="47"/>
  <c r="AD89" i="47"/>
  <c r="G89" i="47"/>
  <c r="AD87" i="47"/>
  <c r="R87" i="47"/>
  <c r="AC87" i="47"/>
  <c r="Q87" i="47"/>
  <c r="AB87" i="47"/>
  <c r="P87" i="47"/>
  <c r="AI87" i="47"/>
  <c r="AM87" i="47"/>
  <c r="AA87" i="47"/>
  <c r="O87" i="47"/>
  <c r="AL87" i="47"/>
  <c r="Z87" i="47"/>
  <c r="N87" i="47"/>
  <c r="AK87" i="47"/>
  <c r="Y87" i="47"/>
  <c r="M87" i="47"/>
  <c r="AJ87" i="47"/>
  <c r="X87" i="47"/>
  <c r="L87" i="47"/>
  <c r="W87" i="47"/>
  <c r="K87" i="47"/>
  <c r="AH87" i="47"/>
  <c r="V87" i="47"/>
  <c r="J87" i="47"/>
  <c r="AG87" i="47"/>
  <c r="U87" i="47"/>
  <c r="I87" i="47"/>
  <c r="AF87" i="47"/>
  <c r="T87" i="47"/>
  <c r="H87" i="47"/>
  <c r="AE87" i="47"/>
  <c r="S87" i="47"/>
  <c r="G87" i="47"/>
  <c r="AC88" i="47"/>
  <c r="R88" i="47"/>
  <c r="J88" i="47"/>
  <c r="AI88" i="47"/>
  <c r="AK88" i="47"/>
  <c r="O88" i="47"/>
  <c r="AH88" i="47"/>
  <c r="Q88" i="47"/>
  <c r="AD88" i="47"/>
  <c r="V88" i="47"/>
  <c r="AA88" i="47"/>
  <c r="H88" i="47"/>
  <c r="AM88" i="47"/>
  <c r="T88" i="47"/>
  <c r="G88" i="47"/>
  <c r="AF88" i="47"/>
  <c r="S88" i="47"/>
  <c r="AE88" i="47"/>
  <c r="I88" i="47"/>
  <c r="P88" i="47"/>
  <c r="Y88" i="47"/>
  <c r="U88" i="47"/>
  <c r="AB88" i="47"/>
  <c r="AG88" i="47"/>
  <c r="L88" i="47"/>
  <c r="N88" i="47"/>
  <c r="K88" i="47"/>
  <c r="AL88" i="47"/>
  <c r="X88" i="47"/>
  <c r="Z88" i="47"/>
  <c r="AJ88" i="47"/>
  <c r="M88" i="47"/>
  <c r="W88" i="47"/>
  <c r="AK98" i="47"/>
  <c r="W98" i="47"/>
  <c r="V98" i="47"/>
  <c r="Q98" i="47"/>
  <c r="P98" i="47"/>
  <c r="N98" i="47"/>
  <c r="K98" i="47"/>
  <c r="AL98" i="47"/>
  <c r="J98" i="47"/>
  <c r="AI98" i="47"/>
  <c r="AH98" i="47"/>
  <c r="AC98" i="47"/>
  <c r="AB98" i="47"/>
  <c r="Z98" i="47"/>
  <c r="G98" i="47"/>
  <c r="I98" i="47"/>
  <c r="S98" i="47"/>
  <c r="U98" i="47"/>
  <c r="AE98" i="47"/>
  <c r="H98" i="47"/>
  <c r="AG98" i="47"/>
  <c r="R98" i="47"/>
  <c r="T98" i="47"/>
  <c r="AD98" i="47"/>
  <c r="AF98" i="47"/>
  <c r="L98" i="47"/>
  <c r="M98" i="47"/>
  <c r="AJ98" i="47"/>
  <c r="O98" i="47"/>
  <c r="X98" i="47"/>
  <c r="Y98" i="47"/>
  <c r="AM98" i="47"/>
  <c r="AA98" i="47"/>
  <c r="J41" i="52"/>
  <c r="J44" i="52"/>
  <c r="N46" i="52"/>
  <c r="J50" i="52"/>
  <c r="N52" i="52"/>
  <c r="F36" i="52"/>
  <c r="R36" i="52"/>
  <c r="N37" i="52"/>
  <c r="J38" i="52"/>
  <c r="F39" i="52"/>
  <c r="N40" i="52"/>
  <c r="F42" i="52"/>
  <c r="F53" i="52" s="1"/>
  <c r="R42" i="52"/>
  <c r="N43" i="52"/>
  <c r="F45" i="52"/>
  <c r="R45" i="52"/>
  <c r="J47" i="52"/>
  <c r="F48" i="52"/>
  <c r="R48" i="52"/>
  <c r="N49" i="52"/>
  <c r="F51" i="52"/>
  <c r="R51" i="52"/>
  <c r="G128" i="47"/>
  <c r="H128" i="47"/>
  <c r="I128" i="47"/>
  <c r="J128" i="47"/>
  <c r="K128" i="47"/>
  <c r="L128" i="47"/>
  <c r="M128" i="47"/>
  <c r="N128" i="47"/>
  <c r="O128" i="47"/>
  <c r="P128" i="47"/>
  <c r="Q128" i="47"/>
  <c r="R128" i="47"/>
  <c r="S128" i="47"/>
  <c r="T128" i="47"/>
  <c r="U128" i="47"/>
  <c r="V128" i="47"/>
  <c r="W128" i="47"/>
  <c r="G129" i="47"/>
  <c r="H129" i="47"/>
  <c r="I129" i="47"/>
  <c r="J129" i="47"/>
  <c r="K129" i="47"/>
  <c r="L129" i="47"/>
  <c r="M129" i="47"/>
  <c r="N129" i="47"/>
  <c r="O129" i="47"/>
  <c r="P129" i="47"/>
  <c r="Q129" i="47"/>
  <c r="R129" i="47"/>
  <c r="S129" i="47"/>
  <c r="T129" i="47"/>
  <c r="U129" i="47"/>
  <c r="V129" i="47"/>
  <c r="W129" i="47"/>
  <c r="X129" i="47"/>
  <c r="Y129" i="47"/>
  <c r="Z129" i="47"/>
  <c r="AA129" i="47"/>
  <c r="AB129" i="47"/>
  <c r="AC34" i="55"/>
  <c r="Y128" i="47"/>
  <c r="AH31" i="55"/>
  <c r="AD129" i="47"/>
  <c r="AG36" i="55"/>
  <c r="AE27" i="55"/>
  <c r="AG37" i="55"/>
  <c r="AF32" i="55"/>
  <c r="AE33" i="55"/>
  <c r="AH28" i="55"/>
  <c r="E36" i="52"/>
  <c r="Q36" i="52"/>
  <c r="M37" i="52"/>
  <c r="I38" i="52"/>
  <c r="E39" i="52"/>
  <c r="Q39" i="52"/>
  <c r="M40" i="52"/>
  <c r="I41" i="52"/>
  <c r="E42" i="52"/>
  <c r="Q42" i="52"/>
  <c r="M43" i="52"/>
  <c r="I44" i="52"/>
  <c r="M46" i="52"/>
  <c r="I47" i="52"/>
  <c r="E48" i="52"/>
  <c r="Q48" i="52"/>
  <c r="M49" i="52"/>
  <c r="Q51" i="52"/>
  <c r="M52" i="52"/>
  <c r="AD127" i="47"/>
  <c r="E86" i="47"/>
  <c r="G86" i="47" s="1"/>
  <c r="E116" i="47"/>
  <c r="X47" i="48"/>
  <c r="AC146" i="53"/>
  <c r="S146" i="53"/>
  <c r="AK146" i="53"/>
  <c r="AN146" i="53"/>
  <c r="Z146" i="53"/>
  <c r="K146" i="53"/>
  <c r="AR146" i="53"/>
  <c r="J6" i="32"/>
  <c r="J7" i="32" s="1"/>
  <c r="AS146" i="53"/>
  <c r="K12" i="53" a="1"/>
  <c r="K12" i="53" s="1"/>
  <c r="K11" i="53" s="1"/>
  <c r="D15" i="53"/>
  <c r="J12" i="53" s="1" a="1"/>
  <c r="J12" i="53" s="1"/>
  <c r="J11" i="53" s="1"/>
  <c r="E118" i="47"/>
  <c r="W46" i="48"/>
  <c r="G84" i="48" s="1"/>
  <c r="T146" i="53"/>
  <c r="O94" i="32"/>
  <c r="O73" i="32" s="1"/>
  <c r="O80" i="32" s="1"/>
  <c r="C175" i="53"/>
  <c r="C187" i="53" s="1"/>
  <c r="C198" i="53" s="1"/>
  <c r="C209" i="53" s="1"/>
  <c r="C221" i="53" s="1"/>
  <c r="M6" i="32"/>
  <c r="M7" i="32" s="1"/>
  <c r="AL6" i="32"/>
  <c r="AG146" i="53"/>
  <c r="AN7" i="32"/>
  <c r="AD146" i="53"/>
  <c r="R146" i="53"/>
  <c r="L67" i="53"/>
  <c r="L104" i="53" s="1"/>
  <c r="E114" i="47"/>
  <c r="E110" i="47"/>
  <c r="AC6" i="32"/>
  <c r="AC7" i="32" s="1"/>
  <c r="V6" i="32"/>
  <c r="V7" i="32" s="1"/>
  <c r="AF6" i="32"/>
  <c r="M84" i="48"/>
  <c r="L84" i="48"/>
  <c r="R140" i="53"/>
  <c r="E140" i="53"/>
  <c r="L140" i="53" s="1"/>
  <c r="AH129" i="53"/>
  <c r="AQ129" i="53"/>
  <c r="AF129" i="53"/>
  <c r="V129" i="53"/>
  <c r="AD129" i="53"/>
  <c r="AD140" i="53" s="1"/>
  <c r="U129" i="53"/>
  <c r="U140" i="53" s="1"/>
  <c r="Y129" i="53"/>
  <c r="Z129" i="53"/>
  <c r="Z140" i="53" s="1"/>
  <c r="AV129" i="53"/>
  <c r="AV140" i="53" s="1"/>
  <c r="AA129" i="53"/>
  <c r="W129" i="53"/>
  <c r="W140" i="53" s="1"/>
  <c r="AT129" i="53"/>
  <c r="AT140" i="53" s="1"/>
  <c r="AJ129" i="53"/>
  <c r="AS129" i="53"/>
  <c r="AK129" i="53"/>
  <c r="K129" i="53"/>
  <c r="AL7" i="32"/>
  <c r="N140" i="53"/>
  <c r="V146" i="53"/>
  <c r="AE146" i="53"/>
  <c r="AB6" i="32"/>
  <c r="AB7" i="32" s="1"/>
  <c r="AV146" i="53"/>
  <c r="C228" i="48"/>
  <c r="C229" i="48" s="1"/>
  <c r="C99" i="53"/>
  <c r="C158" i="53" s="1"/>
  <c r="D26" i="39"/>
  <c r="E121" i="47"/>
  <c r="W47" i="48"/>
  <c r="G85" i="48" s="1"/>
  <c r="X46" i="48"/>
  <c r="D23" i="39"/>
  <c r="Y146" i="53"/>
  <c r="AI146" i="53"/>
  <c r="AG7" i="32"/>
  <c r="AG129" i="53"/>
  <c r="L86" i="48"/>
  <c r="N86" i="48" s="1"/>
  <c r="W6" i="32"/>
  <c r="W7" i="32" s="1"/>
  <c r="AE6" i="32"/>
  <c r="AE7" i="32" s="1"/>
  <c r="S6" i="32"/>
  <c r="R6" i="32"/>
  <c r="R7" i="32" s="1"/>
  <c r="AU140" i="53"/>
  <c r="H49" i="32"/>
  <c r="AP129" i="53"/>
  <c r="AL129" i="53"/>
  <c r="AL140" i="53" s="1"/>
  <c r="AE129" i="53"/>
  <c r="AE140" i="53" s="1"/>
  <c r="H84" i="48"/>
  <c r="AC133" i="47"/>
  <c r="T6" i="32"/>
  <c r="T7" i="32" s="1"/>
  <c r="L7" i="53"/>
  <c r="U6" i="32"/>
  <c r="M86" i="48"/>
  <c r="C97" i="53"/>
  <c r="C156" i="53" s="1"/>
  <c r="X146" i="53"/>
  <c r="X6" i="32"/>
  <c r="X7" i="32" s="1"/>
  <c r="AL146" i="53"/>
  <c r="O85" i="48"/>
  <c r="I49" i="32"/>
  <c r="J140" i="53"/>
  <c r="E115" i="47"/>
  <c r="Y6" i="32"/>
  <c r="Y7" i="32" s="1"/>
  <c r="P146" i="53"/>
  <c r="AP146" i="53"/>
  <c r="Q47" i="48"/>
  <c r="J146" i="53"/>
  <c r="S140" i="53"/>
  <c r="AM146" i="53"/>
  <c r="AA135" i="47"/>
  <c r="AU146" i="53"/>
  <c r="AO129" i="53"/>
  <c r="AC129" i="53"/>
  <c r="AC140" i="53" s="1"/>
  <c r="O140" i="53"/>
  <c r="E117" i="47"/>
  <c r="M21" i="32"/>
  <c r="K3" i="29"/>
  <c r="AJ6" i="32"/>
  <c r="AJ7" i="32" s="1"/>
  <c r="C87" i="48"/>
  <c r="D87" i="48"/>
  <c r="B87" i="48"/>
  <c r="AH146" i="53"/>
  <c r="M140" i="53"/>
  <c r="AK6" i="32"/>
  <c r="AK7" i="32" s="1"/>
  <c r="B52" i="53"/>
  <c r="I52" i="53"/>
  <c r="C180" i="53"/>
  <c r="C192" i="53" s="1"/>
  <c r="C203" i="53" s="1"/>
  <c r="C214" i="53" s="1"/>
  <c r="C226" i="53" s="1"/>
  <c r="C239" i="53"/>
  <c r="AN129" i="53"/>
  <c r="AB129" i="53"/>
  <c r="AB140" i="53" s="1"/>
  <c r="P129" i="53"/>
  <c r="P140" i="53" s="1"/>
  <c r="G83" i="47"/>
  <c r="T43" i="48"/>
  <c r="N143" i="53"/>
  <c r="T145" i="53"/>
  <c r="X128" i="53"/>
  <c r="X139" i="53" s="1"/>
  <c r="K8" i="53"/>
  <c r="N146" i="53"/>
  <c r="S7" i="32"/>
  <c r="Q7" i="32"/>
  <c r="AK127" i="53"/>
  <c r="U135" i="53"/>
  <c r="U146" i="53" s="1"/>
  <c r="D254" i="53"/>
  <c r="AH128" i="53"/>
  <c r="AH139" i="53" s="1"/>
  <c r="AL128" i="53"/>
  <c r="AL139" i="53" s="1"/>
  <c r="Z4" i="48"/>
  <c r="R47" i="48" s="1"/>
  <c r="O146" i="53"/>
  <c r="AR128" i="53"/>
  <c r="AR139" i="53" s="1"/>
  <c r="AJ131" i="53"/>
  <c r="AJ142" i="53" s="1"/>
  <c r="E112" i="47"/>
  <c r="AQ146" i="53"/>
  <c r="J93"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37" i="44"/>
  <c r="I37" i="44"/>
  <c r="G25" i="35"/>
  <c r="E25" i="35"/>
  <c r="H25" i="35"/>
  <c r="F25" i="35"/>
  <c r="B25" i="35"/>
  <c r="I25" i="35"/>
  <c r="BB102" i="32"/>
  <c r="B22" i="35"/>
  <c r="I23" i="35"/>
  <c r="G24" i="35"/>
  <c r="E23" i="35"/>
  <c r="D163" i="48"/>
  <c r="D127" i="48"/>
  <c r="D233" i="48"/>
  <c r="R76" i="44"/>
  <c r="Q77" i="44"/>
  <c r="E119" i="47"/>
  <c r="E123" i="47"/>
  <c r="C177" i="53"/>
  <c r="C189" i="53" s="1"/>
  <c r="C200" i="53" s="1"/>
  <c r="C211" i="53" s="1"/>
  <c r="C223" i="53" s="1"/>
  <c r="C238" i="53"/>
  <c r="C179" i="53"/>
  <c r="C191" i="53" s="1"/>
  <c r="C202" i="53" s="1"/>
  <c r="C213" i="53" s="1"/>
  <c r="C225" i="53" s="1"/>
  <c r="AA43" i="48"/>
  <c r="AA45" i="48" s="1"/>
  <c r="T45" i="48"/>
  <c r="O52" i="48"/>
  <c r="C235" i="53"/>
  <c r="C176" i="53"/>
  <c r="C188" i="53" s="1"/>
  <c r="C199" i="53" s="1"/>
  <c r="C210" i="53" s="1"/>
  <c r="C222" i="53" s="1"/>
  <c r="G42" i="44"/>
  <c r="J45" i="53"/>
  <c r="J46" i="53"/>
  <c r="J44" i="53"/>
  <c r="J76" i="53"/>
  <c r="J77" i="53"/>
  <c r="E122" i="47"/>
  <c r="K88" i="53"/>
  <c r="L3" i="53"/>
  <c r="L6" i="53"/>
  <c r="L22" i="53"/>
  <c r="L12" i="53" a="1"/>
  <c r="L12" i="53" s="1"/>
  <c r="L11" i="53" s="1"/>
  <c r="AL138" i="53"/>
  <c r="F49" i="32"/>
  <c r="P7" i="32"/>
  <c r="O7" i="32"/>
  <c r="J43" i="53"/>
  <c r="I48" i="32"/>
  <c r="J87" i="53"/>
  <c r="K87" i="53" s="1"/>
  <c r="M4" i="53"/>
  <c r="E126" i="47"/>
  <c r="E124" i="47"/>
  <c r="E120" i="47"/>
  <c r="E125" i="47"/>
  <c r="R141" i="53"/>
  <c r="V141" i="53"/>
  <c r="Z141" i="53"/>
  <c r="AM141" i="53"/>
  <c r="Q141" i="53"/>
  <c r="P141" i="53"/>
  <c r="AI141" i="53"/>
  <c r="AQ141" i="53"/>
  <c r="AK141" i="53"/>
  <c r="AS141" i="53"/>
  <c r="AB141" i="53"/>
  <c r="AO141" i="53"/>
  <c r="S141" i="53"/>
  <c r="M141" i="53"/>
  <c r="X141" i="53"/>
  <c r="AG141" i="53"/>
  <c r="K141" i="53"/>
  <c r="AN141" i="53"/>
  <c r="J141" i="53"/>
  <c r="AG143" i="53"/>
  <c r="N85" i="48"/>
  <c r="C9" i="48"/>
  <c r="P47" i="48"/>
  <c r="F85" i="48" s="1"/>
  <c r="T138" i="53"/>
  <c r="AV138" i="53"/>
  <c r="G49" i="32"/>
  <c r="AP141" i="53"/>
  <c r="AU145" i="53"/>
  <c r="AT145" i="53"/>
  <c r="O138" i="53"/>
  <c r="M138" i="53"/>
  <c r="R143" i="53"/>
  <c r="Z143" i="53"/>
  <c r="N6" i="32"/>
  <c r="N7" i="32" s="1"/>
  <c r="P6" i="32"/>
  <c r="O6" i="32"/>
  <c r="L6" i="32"/>
  <c r="L7" i="32" s="1"/>
  <c r="AH138" i="53"/>
  <c r="U7" i="32"/>
  <c r="K7" i="32"/>
  <c r="AD138" i="53"/>
  <c r="AF7" i="32"/>
  <c r="AR138" i="53"/>
  <c r="AK138" i="53"/>
  <c r="AE138" i="53"/>
  <c r="R127" i="53"/>
  <c r="Y127" i="53"/>
  <c r="Y138" i="53" s="1"/>
  <c r="Q127" i="53"/>
  <c r="Q138" i="53" s="1"/>
  <c r="U127" i="53"/>
  <c r="U138" i="53" s="1"/>
  <c r="AC127" i="53"/>
  <c r="AC138" i="53" s="1"/>
  <c r="AN127" i="53"/>
  <c r="AN138" i="53" s="1"/>
  <c r="AQ127" i="53"/>
  <c r="AQ138" i="53" s="1"/>
  <c r="S127" i="53"/>
  <c r="S138" i="53" s="1"/>
  <c r="E138" i="53"/>
  <c r="W138" i="53" s="1"/>
  <c r="Z127" i="53"/>
  <c r="Z138" i="53" s="1"/>
  <c r="AF127" i="53"/>
  <c r="AF138" i="53" s="1"/>
  <c r="AJ127" i="53"/>
  <c r="AJ138" i="53" s="1"/>
  <c r="AM138" i="53"/>
  <c r="F78" i="44"/>
  <c r="AS127" i="53"/>
  <c r="AS138" i="53" s="1"/>
  <c r="E78" i="44"/>
  <c r="BB126" i="32"/>
  <c r="E5" i="47"/>
  <c r="G5" i="47" s="1"/>
  <c r="AB138" i="53"/>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J77" i="44"/>
  <c r="I77" i="44"/>
  <c r="F73" i="44"/>
  <c r="K78" i="44"/>
  <c r="J78" i="44"/>
  <c r="E73" i="44"/>
  <c r="Q78" i="44"/>
  <c r="G77" i="44"/>
  <c r="I73" i="44"/>
  <c r="G78" i="44"/>
  <c r="M77" i="44"/>
  <c r="D77" i="44"/>
  <c r="D73" i="44"/>
  <c r="H73" i="44"/>
  <c r="N78" i="44"/>
  <c r="M78" i="44"/>
  <c r="G73" i="44"/>
  <c r="C73" i="44"/>
  <c r="O78" i="44"/>
  <c r="N77" i="44"/>
  <c r="B73" i="44"/>
  <c r="E77" i="44"/>
  <c r="D78" i="44"/>
  <c r="I78" i="44"/>
  <c r="O77" i="44"/>
  <c r="J73" i="44"/>
  <c r="K73" i="44"/>
  <c r="L77" i="44"/>
  <c r="H78" i="44"/>
  <c r="P78" i="44"/>
  <c r="L78" i="44"/>
  <c r="F77" i="44"/>
  <c r="H77" i="44"/>
  <c r="C77" i="44"/>
  <c r="R78" i="44"/>
  <c r="P77" i="44"/>
  <c r="I26" i="35"/>
  <c r="F37" i="44"/>
  <c r="Z12" i="44"/>
  <c r="J37" i="44"/>
  <c r="Z6" i="44"/>
  <c r="K19" i="44"/>
  <c r="O19" i="44" s="1"/>
  <c r="Y14" i="44"/>
  <c r="V14" i="44"/>
  <c r="E37" i="44"/>
  <c r="V10" i="44"/>
  <c r="AA15" i="44"/>
  <c r="T10" i="44"/>
  <c r="W9" i="44"/>
  <c r="Y11" i="44"/>
  <c r="T19" i="44"/>
  <c r="Z13" i="44"/>
  <c r="AA21" i="44"/>
  <c r="AA16" i="44"/>
  <c r="J193" i="53"/>
  <c r="J215" i="53"/>
  <c r="J204" i="53"/>
  <c r="W16" i="44"/>
  <c r="Y7" i="44"/>
  <c r="C37" i="44"/>
  <c r="D37" i="44"/>
  <c r="K7" i="44"/>
  <c r="AB7" i="44" s="1"/>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0" i="32"/>
  <c r="BB123" i="32"/>
  <c r="BB129" i="32"/>
  <c r="BB132" i="32"/>
  <c r="G26" i="35"/>
  <c r="E64" i="32"/>
  <c r="J64" i="32" s="1"/>
  <c r="E68" i="32"/>
  <c r="J68" i="32" s="1"/>
  <c r="E66" i="32"/>
  <c r="J66" i="32" s="1"/>
  <c r="E65" i="32"/>
  <c r="J65" i="32" s="1"/>
  <c r="E67" i="32"/>
  <c r="J67" i="32" s="1"/>
  <c r="E69" i="32"/>
  <c r="J69" i="32" s="1"/>
  <c r="E63" i="32"/>
  <c r="J63" i="32" s="1"/>
  <c r="K12" i="44"/>
  <c r="O12" i="44" s="1"/>
  <c r="D22" i="44"/>
  <c r="H77" i="53"/>
  <c r="K14" i="44"/>
  <c r="U8" i="44"/>
  <c r="K10" i="44"/>
  <c r="O10" i="44" s="1"/>
  <c r="K11" i="44"/>
  <c r="AB11" i="44" s="1"/>
  <c r="AA11" i="44"/>
  <c r="X9" i="44"/>
  <c r="Z11" i="44"/>
  <c r="U16" i="44"/>
  <c r="K18" i="44"/>
  <c r="AB18" i="44" s="1"/>
  <c r="K21" i="44"/>
  <c r="B22" i="44"/>
  <c r="K20" i="44"/>
  <c r="C62" i="44"/>
  <c r="B32" i="44"/>
  <c r="M30" i="44"/>
  <c r="M32" i="44" s="1"/>
  <c r="K8" i="44"/>
  <c r="O8" i="44" s="1"/>
  <c r="K13" i="44"/>
  <c r="O13" i="44" s="1"/>
  <c r="K15" i="44"/>
  <c r="O15" i="44" s="1"/>
  <c r="K16" i="44"/>
  <c r="O16" i="44" s="1"/>
  <c r="C22" i="44"/>
  <c r="K9" i="44"/>
  <c r="O9" i="44" s="1"/>
  <c r="G22" i="44"/>
  <c r="E22" i="44"/>
  <c r="F22" i="44"/>
  <c r="K6" i="44"/>
  <c r="AB6" i="44" s="1"/>
  <c r="H22" i="44"/>
  <c r="I88" i="53"/>
  <c r="E10" i="53"/>
  <c r="D28" i="29"/>
  <c r="D5" i="29"/>
  <c r="D6" i="35"/>
  <c r="K17" i="44"/>
  <c r="AB17" i="44" s="1"/>
  <c r="S15" i="44"/>
  <c r="S9" i="44"/>
  <c r="Z19" i="44"/>
  <c r="H87" i="53"/>
  <c r="H76" i="53"/>
  <c r="I22" i="44"/>
  <c r="J22" i="44"/>
  <c r="BB122" i="32"/>
  <c r="BB127" i="32"/>
  <c r="BB111" i="32"/>
  <c r="BB114" i="32"/>
  <c r="BB117" i="32"/>
  <c r="BB125" i="32"/>
  <c r="L53" i="52"/>
  <c r="BB116" i="32"/>
  <c r="E69" i="47"/>
  <c r="E68" i="47"/>
  <c r="BB134" i="32"/>
  <c r="BB105" i="32"/>
  <c r="E66" i="47"/>
  <c r="BB103" i="32"/>
  <c r="BB106" i="32"/>
  <c r="BB109" i="32"/>
  <c r="BB112" i="32"/>
  <c r="BB115" i="32"/>
  <c r="BB110" i="32"/>
  <c r="BB101" i="32"/>
  <c r="BB98" i="32"/>
  <c r="E70" i="47"/>
  <c r="BB100" i="32"/>
  <c r="N53" i="52"/>
  <c r="BB130" i="32"/>
  <c r="BB135" i="32"/>
  <c r="BB113" i="32"/>
  <c r="BB121" i="32"/>
  <c r="BB96" i="32"/>
  <c r="BB133" i="32"/>
  <c r="BB128" i="32"/>
  <c r="BB107" i="32"/>
  <c r="E67" i="47"/>
  <c r="BB124" i="32"/>
  <c r="BB119" i="32"/>
  <c r="H53" i="52"/>
  <c r="E78" i="47"/>
  <c r="BB136" i="32"/>
  <c r="BB104" i="32"/>
  <c r="BB131" i="32"/>
  <c r="E64" i="47"/>
  <c r="E82" i="47"/>
  <c r="G22" i="35"/>
  <c r="BB99" i="32"/>
  <c r="E65" i="47"/>
  <c r="E63" i="47"/>
  <c r="E79" i="47"/>
  <c r="H22" i="35"/>
  <c r="E75" i="47"/>
  <c r="E71" i="47"/>
  <c r="E72" i="47"/>
  <c r="E62" i="47"/>
  <c r="E77" i="47"/>
  <c r="E74" i="47"/>
  <c r="E73" i="47"/>
  <c r="F22" i="35"/>
  <c r="E81" i="47"/>
  <c r="B23" i="35"/>
  <c r="G23" i="35"/>
  <c r="I22" i="35"/>
  <c r="BB118" i="32"/>
  <c r="H23" i="35"/>
  <c r="E76" i="47"/>
  <c r="F23" i="35"/>
  <c r="C22" i="35"/>
  <c r="B24" i="35"/>
  <c r="I24" i="35"/>
  <c r="C24" i="35"/>
  <c r="F24" i="35"/>
  <c r="E24" i="35"/>
  <c r="K33" i="29"/>
  <c r="G108" i="47"/>
  <c r="E9" i="47"/>
  <c r="E8" i="47"/>
  <c r="E7" i="47"/>
  <c r="E6" i="47"/>
  <c r="E53" i="52" l="1"/>
  <c r="J53" i="52"/>
  <c r="Q53" i="52"/>
  <c r="I53" i="52"/>
  <c r="R53" i="52"/>
  <c r="M53" i="52"/>
  <c r="G131" i="47"/>
  <c r="H131" i="47"/>
  <c r="I131" i="47"/>
  <c r="J131" i="47"/>
  <c r="K131" i="47"/>
  <c r="L131" i="47"/>
  <c r="M131" i="47"/>
  <c r="N131" i="47"/>
  <c r="O131" i="47"/>
  <c r="P131" i="47"/>
  <c r="Q131" i="47"/>
  <c r="R131" i="47"/>
  <c r="S131" i="47"/>
  <c r="T131" i="47"/>
  <c r="U131" i="47"/>
  <c r="V131" i="47"/>
  <c r="W131" i="47"/>
  <c r="X131" i="47"/>
  <c r="Y131" i="47"/>
  <c r="Z131" i="47"/>
  <c r="AA131" i="47"/>
  <c r="G133" i="47"/>
  <c r="H133" i="47"/>
  <c r="I133" i="47"/>
  <c r="J133" i="47"/>
  <c r="K133" i="47"/>
  <c r="L133" i="47"/>
  <c r="M133" i="47"/>
  <c r="N133" i="47"/>
  <c r="O133" i="47"/>
  <c r="P133" i="47"/>
  <c r="Q133" i="47"/>
  <c r="R133" i="47"/>
  <c r="S133" i="47"/>
  <c r="T133" i="47"/>
  <c r="U133" i="47"/>
  <c r="V133" i="47"/>
  <c r="W133" i="47"/>
  <c r="X133" i="47"/>
  <c r="Y133" i="47"/>
  <c r="Z133" i="47"/>
  <c r="AA133" i="47"/>
  <c r="AB133" i="47"/>
  <c r="L127" i="47"/>
  <c r="K127" i="47"/>
  <c r="J127" i="47"/>
  <c r="I127" i="47"/>
  <c r="H127" i="47"/>
  <c r="G127" i="47"/>
  <c r="M127" i="47"/>
  <c r="N127" i="47"/>
  <c r="O127" i="47"/>
  <c r="P127" i="47"/>
  <c r="Q127" i="47"/>
  <c r="R127" i="47"/>
  <c r="S127" i="47"/>
  <c r="T127" i="47"/>
  <c r="U127" i="47"/>
  <c r="V127" i="47"/>
  <c r="W127" i="47"/>
  <c r="X127" i="47"/>
  <c r="Y127" i="47"/>
  <c r="Z127" i="47"/>
  <c r="AA127" i="47"/>
  <c r="AB127" i="47"/>
  <c r="AC127" i="47"/>
  <c r="G130" i="47"/>
  <c r="H130" i="47"/>
  <c r="I130" i="47"/>
  <c r="J130" i="47"/>
  <c r="K130" i="47"/>
  <c r="L130" i="47"/>
  <c r="M130" i="47"/>
  <c r="N130" i="47"/>
  <c r="O130" i="47"/>
  <c r="P130" i="47"/>
  <c r="Q130" i="47"/>
  <c r="R130" i="47"/>
  <c r="S130" i="47"/>
  <c r="T130" i="47"/>
  <c r="U130" i="47"/>
  <c r="V130" i="47"/>
  <c r="W130" i="47"/>
  <c r="X130" i="47"/>
  <c r="Y130" i="47"/>
  <c r="Z130" i="47"/>
  <c r="AA130" i="47"/>
  <c r="AB131" i="47"/>
  <c r="G134" i="47"/>
  <c r="H134" i="47"/>
  <c r="I134" i="47"/>
  <c r="J134" i="47"/>
  <c r="K134" i="47"/>
  <c r="L134" i="47"/>
  <c r="M134" i="47"/>
  <c r="N134" i="47"/>
  <c r="O134" i="47"/>
  <c r="P134" i="47"/>
  <c r="Q134" i="47"/>
  <c r="R134" i="47"/>
  <c r="S134" i="47"/>
  <c r="T134" i="47"/>
  <c r="U134" i="47"/>
  <c r="V134" i="47"/>
  <c r="W134" i="47"/>
  <c r="X134" i="47"/>
  <c r="Y134" i="47"/>
  <c r="Z134" i="47"/>
  <c r="AA134" i="47"/>
  <c r="AB134" i="47"/>
  <c r="G135" i="47"/>
  <c r="H135" i="47"/>
  <c r="I135" i="47"/>
  <c r="J135" i="47"/>
  <c r="K135" i="47"/>
  <c r="L135" i="47"/>
  <c r="M135" i="47"/>
  <c r="N135" i="47"/>
  <c r="O135" i="47"/>
  <c r="P135" i="47"/>
  <c r="Q135" i="47"/>
  <c r="R135" i="47"/>
  <c r="S135" i="47"/>
  <c r="T135" i="47"/>
  <c r="U135" i="47"/>
  <c r="V135" i="47"/>
  <c r="W135" i="47"/>
  <c r="X135" i="47"/>
  <c r="Y135" i="47"/>
  <c r="Z135" i="47"/>
  <c r="AC134" i="47"/>
  <c r="AG32" i="55"/>
  <c r="AC131" i="47"/>
  <c r="AF27" i="55"/>
  <c r="AB135" i="47"/>
  <c r="AH37" i="55"/>
  <c r="AD134" i="47"/>
  <c r="AH36" i="55"/>
  <c r="AD133" i="47"/>
  <c r="AI28" i="55"/>
  <c r="AE127" i="47"/>
  <c r="AI31" i="55"/>
  <c r="AE129" i="47"/>
  <c r="AF33" i="55"/>
  <c r="AB130" i="47"/>
  <c r="AD34" i="55"/>
  <c r="Z128" i="47"/>
  <c r="G37" i="47"/>
  <c r="S37" i="47"/>
  <c r="AE37" i="47"/>
  <c r="H37" i="47"/>
  <c r="T37" i="47"/>
  <c r="AF37" i="47"/>
  <c r="I37" i="47"/>
  <c r="U37" i="47"/>
  <c r="AG37" i="47"/>
  <c r="J37" i="47"/>
  <c r="V37" i="47"/>
  <c r="AH37" i="47"/>
  <c r="K37" i="47"/>
  <c r="W37" i="47"/>
  <c r="AI37" i="47"/>
  <c r="L37" i="47"/>
  <c r="X37" i="47"/>
  <c r="AJ37" i="47"/>
  <c r="M37" i="47"/>
  <c r="Y37" i="47"/>
  <c r="AK37" i="47"/>
  <c r="N37" i="47"/>
  <c r="Z37" i="47"/>
  <c r="AL37" i="47"/>
  <c r="O37" i="47"/>
  <c r="AA37" i="47"/>
  <c r="AM37" i="47"/>
  <c r="P37" i="47"/>
  <c r="AB37" i="47"/>
  <c r="Q37" i="47"/>
  <c r="R37" i="47"/>
  <c r="AC37" i="47"/>
  <c r="AD37" i="47"/>
  <c r="M35" i="47"/>
  <c r="Y35" i="47"/>
  <c r="AK35" i="47"/>
  <c r="N35" i="47"/>
  <c r="Z35" i="47"/>
  <c r="AL35" i="47"/>
  <c r="O35" i="47"/>
  <c r="AA35" i="47"/>
  <c r="AM35" i="47"/>
  <c r="P35" i="47"/>
  <c r="AB35" i="47"/>
  <c r="Q35" i="47"/>
  <c r="AC35" i="47"/>
  <c r="R35" i="47"/>
  <c r="AD35" i="47"/>
  <c r="G35" i="47"/>
  <c r="S35" i="47"/>
  <c r="AE35" i="47"/>
  <c r="H35" i="47"/>
  <c r="T35" i="47"/>
  <c r="AF35" i="47"/>
  <c r="I35" i="47"/>
  <c r="U35" i="47"/>
  <c r="AG35" i="47"/>
  <c r="J35" i="47"/>
  <c r="V35" i="47"/>
  <c r="AH35" i="47"/>
  <c r="K35" i="47"/>
  <c r="L35" i="47"/>
  <c r="W35" i="47"/>
  <c r="X35" i="47"/>
  <c r="AI35" i="47"/>
  <c r="AJ35" i="47"/>
  <c r="J38" i="47"/>
  <c r="V38" i="47"/>
  <c r="AH38" i="47"/>
  <c r="K38" i="47"/>
  <c r="W38" i="47"/>
  <c r="AI38" i="47"/>
  <c r="L38" i="47"/>
  <c r="X38" i="47"/>
  <c r="AJ38" i="47"/>
  <c r="M38" i="47"/>
  <c r="Y38" i="47"/>
  <c r="AK38" i="47"/>
  <c r="N38" i="47"/>
  <c r="Z38" i="47"/>
  <c r="AL38" i="47"/>
  <c r="O38" i="47"/>
  <c r="AA38" i="47"/>
  <c r="AM38" i="47"/>
  <c r="P38" i="47"/>
  <c r="AB38" i="47"/>
  <c r="Q38" i="47"/>
  <c r="AC38" i="47"/>
  <c r="R38" i="47"/>
  <c r="AD38" i="47"/>
  <c r="G38" i="47"/>
  <c r="S38" i="47"/>
  <c r="AE38" i="47"/>
  <c r="AF38" i="47"/>
  <c r="AG38" i="47"/>
  <c r="U38" i="47"/>
  <c r="H38" i="47"/>
  <c r="I38" i="47"/>
  <c r="T38" i="47"/>
  <c r="P36" i="47"/>
  <c r="AB36" i="47"/>
  <c r="Q36" i="47"/>
  <c r="AC36" i="47"/>
  <c r="R36" i="47"/>
  <c r="AD36" i="47"/>
  <c r="G36" i="47"/>
  <c r="S36" i="47"/>
  <c r="AE36" i="47"/>
  <c r="H36" i="47"/>
  <c r="T36" i="47"/>
  <c r="AF36" i="47"/>
  <c r="I36" i="47"/>
  <c r="U36" i="47"/>
  <c r="AG36" i="47"/>
  <c r="J36" i="47"/>
  <c r="V36" i="47"/>
  <c r="AH36" i="47"/>
  <c r="K36" i="47"/>
  <c r="W36" i="47"/>
  <c r="AI36" i="47"/>
  <c r="L36" i="47"/>
  <c r="X36" i="47"/>
  <c r="AJ36" i="47"/>
  <c r="M36" i="47"/>
  <c r="Y36" i="47"/>
  <c r="AK36" i="47"/>
  <c r="Z36" i="47"/>
  <c r="N36" i="47"/>
  <c r="AA36" i="47"/>
  <c r="AL36" i="47"/>
  <c r="AM36" i="47"/>
  <c r="O36" i="47"/>
  <c r="P32" i="47"/>
  <c r="AB32" i="47"/>
  <c r="Q32" i="47"/>
  <c r="AC32" i="47"/>
  <c r="R32" i="47"/>
  <c r="AD32" i="47"/>
  <c r="G32" i="47"/>
  <c r="S32" i="47"/>
  <c r="AE32" i="47"/>
  <c r="H32" i="47"/>
  <c r="T32" i="47"/>
  <c r="AF32" i="47"/>
  <c r="I32" i="47"/>
  <c r="U32" i="47"/>
  <c r="AG32" i="47"/>
  <c r="J32" i="47"/>
  <c r="V32" i="47"/>
  <c r="AH32" i="47"/>
  <c r="K32" i="47"/>
  <c r="W32" i="47"/>
  <c r="AI32" i="47"/>
  <c r="L32" i="47"/>
  <c r="X32" i="47"/>
  <c r="AJ32" i="47"/>
  <c r="M32" i="47"/>
  <c r="Y32" i="47"/>
  <c r="AK32" i="47"/>
  <c r="N32" i="47"/>
  <c r="O32" i="47"/>
  <c r="Z32" i="47"/>
  <c r="AA32" i="47"/>
  <c r="AL32" i="47"/>
  <c r="AM32" i="47"/>
  <c r="M39" i="47"/>
  <c r="Y39" i="47"/>
  <c r="AK39" i="47"/>
  <c r="N39" i="47"/>
  <c r="Z39" i="47"/>
  <c r="AL39" i="47"/>
  <c r="O39" i="47"/>
  <c r="AA39" i="47"/>
  <c r="AM39" i="47"/>
  <c r="P39" i="47"/>
  <c r="AB39" i="47"/>
  <c r="Q39" i="47"/>
  <c r="AC39" i="47"/>
  <c r="R39" i="47"/>
  <c r="AD39" i="47"/>
  <c r="G39" i="47"/>
  <c r="S39" i="47"/>
  <c r="AE39" i="47"/>
  <c r="H39" i="47"/>
  <c r="T39" i="47"/>
  <c r="AF39" i="47"/>
  <c r="I39" i="47"/>
  <c r="U39" i="47"/>
  <c r="AG39" i="47"/>
  <c r="J39" i="47"/>
  <c r="V39" i="47"/>
  <c r="AH39" i="47"/>
  <c r="K39" i="47"/>
  <c r="L39" i="47"/>
  <c r="W39" i="47"/>
  <c r="X39" i="47"/>
  <c r="AI39" i="47"/>
  <c r="AJ39" i="47"/>
  <c r="J34" i="47"/>
  <c r="V34" i="47"/>
  <c r="AH34" i="47"/>
  <c r="K34" i="47"/>
  <c r="W34" i="47"/>
  <c r="AI34" i="47"/>
  <c r="L34" i="47"/>
  <c r="X34" i="47"/>
  <c r="AJ34" i="47"/>
  <c r="M34" i="47"/>
  <c r="Y34" i="47"/>
  <c r="AK34" i="47"/>
  <c r="N34" i="47"/>
  <c r="Z34" i="47"/>
  <c r="AL34" i="47"/>
  <c r="O34" i="47"/>
  <c r="AA34" i="47"/>
  <c r="AM34" i="47"/>
  <c r="P34" i="47"/>
  <c r="AB34" i="47"/>
  <c r="Q34" i="47"/>
  <c r="AC34" i="47"/>
  <c r="R34" i="47"/>
  <c r="AD34" i="47"/>
  <c r="G34" i="47"/>
  <c r="S34" i="47"/>
  <c r="AE34" i="47"/>
  <c r="T34" i="47"/>
  <c r="U34" i="47"/>
  <c r="AF34" i="47"/>
  <c r="AG34" i="47"/>
  <c r="H34" i="47"/>
  <c r="I34" i="47"/>
  <c r="G33" i="47"/>
  <c r="S33" i="47"/>
  <c r="AE33" i="47"/>
  <c r="H33" i="47"/>
  <c r="T33" i="47"/>
  <c r="AF33" i="47"/>
  <c r="I33" i="47"/>
  <c r="U33" i="47"/>
  <c r="AG33" i="47"/>
  <c r="J33" i="47"/>
  <c r="V33" i="47"/>
  <c r="AH33" i="47"/>
  <c r="K33" i="47"/>
  <c r="W33" i="47"/>
  <c r="AI33" i="47"/>
  <c r="L33" i="47"/>
  <c r="X33" i="47"/>
  <c r="AJ33" i="47"/>
  <c r="M33" i="47"/>
  <c r="Y33" i="47"/>
  <c r="AK33" i="47"/>
  <c r="N33" i="47"/>
  <c r="Z33" i="47"/>
  <c r="AL33" i="47"/>
  <c r="O33" i="47"/>
  <c r="AA33" i="47"/>
  <c r="AM33" i="47"/>
  <c r="P33" i="47"/>
  <c r="AB33" i="47"/>
  <c r="Q33" i="47"/>
  <c r="R33" i="47"/>
  <c r="AC33" i="47"/>
  <c r="AD33" i="47"/>
  <c r="P40" i="47"/>
  <c r="AB40" i="47"/>
  <c r="Q40" i="47"/>
  <c r="AC40" i="47"/>
  <c r="R40" i="47"/>
  <c r="AD40" i="47"/>
  <c r="G40" i="47"/>
  <c r="S40" i="47"/>
  <c r="AE40" i="47"/>
  <c r="H40" i="47"/>
  <c r="T40" i="47"/>
  <c r="AF40" i="47"/>
  <c r="I40" i="47"/>
  <c r="U40" i="47"/>
  <c r="AG40" i="47"/>
  <c r="J40" i="47"/>
  <c r="V40" i="47"/>
  <c r="AH40" i="47"/>
  <c r="K40" i="47"/>
  <c r="W40" i="47"/>
  <c r="AI40" i="47"/>
  <c r="L40" i="47"/>
  <c r="X40" i="47"/>
  <c r="AJ40" i="47"/>
  <c r="M40" i="47"/>
  <c r="Y40" i="47"/>
  <c r="AK40" i="47"/>
  <c r="AL40" i="47"/>
  <c r="AM40" i="47"/>
  <c r="AA40" i="47"/>
  <c r="N40" i="47"/>
  <c r="Z40" i="47"/>
  <c r="O40" i="47"/>
  <c r="G41" i="47"/>
  <c r="S41" i="47"/>
  <c r="AE41" i="47"/>
  <c r="H41" i="47"/>
  <c r="T41" i="47"/>
  <c r="AF41" i="47"/>
  <c r="I41" i="47"/>
  <c r="U41" i="47"/>
  <c r="AG41" i="47"/>
  <c r="J41" i="47"/>
  <c r="V41" i="47"/>
  <c r="AH41" i="47"/>
  <c r="K41" i="47"/>
  <c r="W41" i="47"/>
  <c r="AI41" i="47"/>
  <c r="L41" i="47"/>
  <c r="X41" i="47"/>
  <c r="AJ41" i="47"/>
  <c r="M41" i="47"/>
  <c r="Y41" i="47"/>
  <c r="AK41" i="47"/>
  <c r="N41" i="47"/>
  <c r="Z41" i="47"/>
  <c r="AL41" i="47"/>
  <c r="O41" i="47"/>
  <c r="AA41" i="47"/>
  <c r="AM41" i="47"/>
  <c r="P41" i="47"/>
  <c r="AB41" i="47"/>
  <c r="Q41" i="47"/>
  <c r="R41" i="47"/>
  <c r="AC41" i="47"/>
  <c r="AD41" i="47"/>
  <c r="M31" i="47"/>
  <c r="Y31" i="47"/>
  <c r="AK31" i="47"/>
  <c r="N31" i="47"/>
  <c r="Z31" i="47"/>
  <c r="AL31" i="47"/>
  <c r="O31" i="47"/>
  <c r="AA31" i="47"/>
  <c r="AM31" i="47"/>
  <c r="P31" i="47"/>
  <c r="AB31" i="47"/>
  <c r="Q31" i="47"/>
  <c r="AC31" i="47"/>
  <c r="R31" i="47"/>
  <c r="AD31" i="47"/>
  <c r="G31" i="47"/>
  <c r="S31" i="47"/>
  <c r="AE31" i="47"/>
  <c r="H31" i="47"/>
  <c r="T31" i="47"/>
  <c r="AF31" i="47"/>
  <c r="I31" i="47"/>
  <c r="U31" i="47"/>
  <c r="AG31" i="47"/>
  <c r="J31" i="47"/>
  <c r="V31" i="47"/>
  <c r="AH31" i="47"/>
  <c r="AJ31" i="47"/>
  <c r="K31" i="47"/>
  <c r="AI31" i="47"/>
  <c r="L31" i="47"/>
  <c r="W31" i="47"/>
  <c r="X31" i="47"/>
  <c r="L8" i="53"/>
  <c r="K53" i="52"/>
  <c r="S47" i="48"/>
  <c r="AO140" i="53"/>
  <c r="AP140" i="53"/>
  <c r="AG140" i="53"/>
  <c r="K140" i="53"/>
  <c r="V140" i="53"/>
  <c r="R46" i="48"/>
  <c r="J29" i="32"/>
  <c r="K29" i="32" s="1"/>
  <c r="L29" i="32" s="1"/>
  <c r="M29" i="32" s="1"/>
  <c r="J30" i="32"/>
  <c r="AP138" i="53"/>
  <c r="K77" i="53"/>
  <c r="S46" i="48"/>
  <c r="Z46" i="48"/>
  <c r="AK140" i="53"/>
  <c r="AF140" i="53"/>
  <c r="AL30" i="32"/>
  <c r="AM30" i="32" s="1"/>
  <c r="AL29" i="32"/>
  <c r="AN29" i="32"/>
  <c r="AO29" i="32" s="1"/>
  <c r="AP29" i="32" s="1"/>
  <c r="AN30" i="32"/>
  <c r="AO30" i="32" s="1"/>
  <c r="AP30" i="32" s="1"/>
  <c r="AO138" i="53"/>
  <c r="K76" i="53"/>
  <c r="Y47" i="48"/>
  <c r="AS140" i="53"/>
  <c r="AQ140" i="53"/>
  <c r="Y46" i="48"/>
  <c r="AJ140" i="53"/>
  <c r="AH140" i="53"/>
  <c r="P94" i="32"/>
  <c r="Q94" i="32" s="1"/>
  <c r="G85" i="47"/>
  <c r="AB29" i="32"/>
  <c r="AC29" i="32" s="1"/>
  <c r="AD29" i="32" s="1"/>
  <c r="AE29" i="32" s="1"/>
  <c r="AF29" i="32" s="1"/>
  <c r="AB30" i="32"/>
  <c r="AC30" i="32" s="1"/>
  <c r="AD30" i="32" s="1"/>
  <c r="AI140" i="53"/>
  <c r="X140" i="53"/>
  <c r="AM140" i="53"/>
  <c r="Q140" i="53"/>
  <c r="H85" i="48"/>
  <c r="AN140" i="53"/>
  <c r="R29" i="32"/>
  <c r="S29" i="32" s="1"/>
  <c r="T29" i="32" s="1"/>
  <c r="U29" i="32" s="1"/>
  <c r="V29" i="32" s="1"/>
  <c r="R30" i="32"/>
  <c r="S30" i="32" s="1"/>
  <c r="T30" i="32" s="1"/>
  <c r="AA140" i="53"/>
  <c r="N84" i="48"/>
  <c r="T140" i="53"/>
  <c r="K30" i="32"/>
  <c r="L30" i="32" s="1"/>
  <c r="M30" i="32" s="1"/>
  <c r="N30" i="32" s="1"/>
  <c r="C88" i="48"/>
  <c r="D88" i="48"/>
  <c r="B88" i="48"/>
  <c r="Z47" i="48"/>
  <c r="E87" i="48"/>
  <c r="K87" i="48" s="1"/>
  <c r="I87" i="48"/>
  <c r="AR140" i="53"/>
  <c r="G53" i="52"/>
  <c r="Y140" i="53"/>
  <c r="J48" i="29"/>
  <c r="G84" i="47" s="1"/>
  <c r="M33" i="29"/>
  <c r="N33" i="29" s="1"/>
  <c r="L33" i="29"/>
  <c r="R47" i="29" s="1"/>
  <c r="O83" i="47" s="1"/>
  <c r="J192" i="53"/>
  <c r="J214" i="53"/>
  <c r="J203" i="53"/>
  <c r="C10" i="48"/>
  <c r="Q49" i="48" s="1"/>
  <c r="Q48" i="48"/>
  <c r="W48" i="48"/>
  <c r="G86" i="48" s="1"/>
  <c r="P48" i="48"/>
  <c r="F86" i="48" s="1"/>
  <c r="X48" i="48"/>
  <c r="R48" i="48"/>
  <c r="S48" i="48"/>
  <c r="H42" i="44"/>
  <c r="P73" i="32"/>
  <c r="P80" i="32" s="1"/>
  <c r="AI138" i="53"/>
  <c r="J138" i="53"/>
  <c r="AT138" i="53"/>
  <c r="L138" i="53"/>
  <c r="AG138" i="53"/>
  <c r="AA138" i="53"/>
  <c r="N138" i="53"/>
  <c r="R138" i="53"/>
  <c r="V138" i="53"/>
  <c r="X138" i="53"/>
  <c r="K138" i="53"/>
  <c r="N21" i="32"/>
  <c r="T46" i="48"/>
  <c r="T47" i="48"/>
  <c r="T48" i="48"/>
  <c r="AA47" i="48"/>
  <c r="AA46" i="48"/>
  <c r="AA48" i="48"/>
  <c r="D128" i="48"/>
  <c r="S53" i="52"/>
  <c r="AU138" i="53"/>
  <c r="N4" i="53"/>
  <c r="M12" i="53" a="1"/>
  <c r="M12" i="53" s="1"/>
  <c r="M11" i="53" s="1"/>
  <c r="M22" i="53"/>
  <c r="M3" i="53"/>
  <c r="M6" i="53"/>
  <c r="M67" i="53"/>
  <c r="M104" i="53" s="1"/>
  <c r="M7" i="53"/>
  <c r="Z48" i="48"/>
  <c r="O53" i="48"/>
  <c r="Y49" i="48"/>
  <c r="S76" i="44"/>
  <c r="S79" i="44" s="1"/>
  <c r="R77" i="44"/>
  <c r="L87" i="53"/>
  <c r="L88" i="53"/>
  <c r="O53" i="52"/>
  <c r="C230" i="48"/>
  <c r="D234" i="48"/>
  <c r="P138" i="53"/>
  <c r="Y48" i="48"/>
  <c r="D164" i="48"/>
  <c r="AB19" i="44"/>
  <c r="J79" i="44"/>
  <c r="J80" i="44" s="1"/>
  <c r="F79" i="44"/>
  <c r="F80" i="44" s="1"/>
  <c r="P79" i="44"/>
  <c r="P80" i="44" s="1"/>
  <c r="C79" i="44"/>
  <c r="C80" i="44" s="1"/>
  <c r="L79" i="44"/>
  <c r="L80" i="44" s="1"/>
  <c r="G79" i="44"/>
  <c r="G80" i="44" s="1"/>
  <c r="O79" i="44"/>
  <c r="O80" i="44" s="1"/>
  <c r="D79" i="44"/>
  <c r="D80" i="44" s="1"/>
  <c r="K79" i="44"/>
  <c r="K80" i="44" s="1"/>
  <c r="N79" i="44"/>
  <c r="N80" i="44" s="1"/>
  <c r="Q79" i="44"/>
  <c r="Q80" i="44" s="1"/>
  <c r="I79" i="44"/>
  <c r="I80" i="44" s="1"/>
  <c r="H79" i="44"/>
  <c r="H80" i="44" s="1"/>
  <c r="M79" i="44"/>
  <c r="M80" i="44" s="1"/>
  <c r="E79" i="44"/>
  <c r="E80" i="44" s="1"/>
  <c r="R79" i="44"/>
  <c r="AB12" i="44"/>
  <c r="J227" i="53"/>
  <c r="J265" i="53" s="1"/>
  <c r="G125" i="47" s="1"/>
  <c r="C23" i="44"/>
  <c r="E23" i="44"/>
  <c r="H23" i="44"/>
  <c r="D23" i="44"/>
  <c r="O11" i="44"/>
  <c r="I77" i="53"/>
  <c r="O7" i="44"/>
  <c r="I23" i="44"/>
  <c r="AB10" i="44"/>
  <c r="O18" i="44"/>
  <c r="AB15" i="44"/>
  <c r="AB13" i="44"/>
  <c r="AB14" i="44"/>
  <c r="O14" i="44"/>
  <c r="AB9" i="44"/>
  <c r="J23" i="44"/>
  <c r="O6" i="44"/>
  <c r="O21" i="44"/>
  <c r="AB21" i="44"/>
  <c r="C64" i="44"/>
  <c r="D62" i="44"/>
  <c r="AB8" i="44"/>
  <c r="F23" i="44"/>
  <c r="AB16" i="44"/>
  <c r="G23" i="44"/>
  <c r="I87" i="53"/>
  <c r="O17" i="44"/>
  <c r="K22" i="44"/>
  <c r="K23" i="44" s="1"/>
  <c r="I76" i="53"/>
  <c r="K47" i="29"/>
  <c r="M47" i="29"/>
  <c r="J83" i="47" s="1"/>
  <c r="U30" i="32"/>
  <c r="AE30" i="32"/>
  <c r="G6" i="47"/>
  <c r="G8" i="47"/>
  <c r="G9" i="47"/>
  <c r="G7" i="47"/>
  <c r="AJ28" i="55" l="1"/>
  <c r="AF127" i="47"/>
  <c r="AI36" i="55"/>
  <c r="AE133" i="47"/>
  <c r="AI37" i="55"/>
  <c r="AE134" i="47"/>
  <c r="AE34" i="55"/>
  <c r="AA128" i="47"/>
  <c r="AG27" i="55"/>
  <c r="AC135" i="47"/>
  <c r="AJ31" i="55"/>
  <c r="AF129" i="47"/>
  <c r="AG33" i="55"/>
  <c r="AC130" i="47"/>
  <c r="AH32" i="55"/>
  <c r="AD131" i="47"/>
  <c r="L76" i="53"/>
  <c r="L77" i="53"/>
  <c r="H86" i="48"/>
  <c r="O87" i="48"/>
  <c r="L87" i="48"/>
  <c r="M87" i="48"/>
  <c r="L3" i="29"/>
  <c r="X49" i="48"/>
  <c r="C89" i="48"/>
  <c r="D89" i="48"/>
  <c r="B89" i="48"/>
  <c r="I89" i="48" s="1"/>
  <c r="AM29" i="32"/>
  <c r="I88" i="48"/>
  <c r="E88" i="48"/>
  <c r="K88" i="48" s="1"/>
  <c r="J226" i="53"/>
  <c r="J264" i="53" s="1"/>
  <c r="G119" i="47" s="1"/>
  <c r="Z49" i="48"/>
  <c r="T49" i="48"/>
  <c r="P49" i="48"/>
  <c r="F87" i="48" s="1"/>
  <c r="H87" i="48" s="1"/>
  <c r="D235" i="48"/>
  <c r="T76" i="44"/>
  <c r="S78" i="44"/>
  <c r="S77" i="44"/>
  <c r="S80" i="44" s="1"/>
  <c r="D129" i="48"/>
  <c r="R80" i="44"/>
  <c r="S49" i="48"/>
  <c r="R49" i="48"/>
  <c r="R94" i="32"/>
  <c r="Q73" i="32"/>
  <c r="Q80" i="32" s="1"/>
  <c r="C11" i="48"/>
  <c r="T50" i="48" s="1"/>
  <c r="Y50" i="48"/>
  <c r="N7" i="53"/>
  <c r="N22" i="53"/>
  <c r="N12" i="53" a="1"/>
  <c r="N12" i="53" s="1"/>
  <c r="N11" i="53" s="1"/>
  <c r="N67" i="53"/>
  <c r="N104" i="53" s="1"/>
  <c r="O4" i="53"/>
  <c r="N3" i="53"/>
  <c r="N6" i="53"/>
  <c r="C231" i="48"/>
  <c r="O54" i="48"/>
  <c r="W49" i="48"/>
  <c r="G87" i="48" s="1"/>
  <c r="D165" i="48"/>
  <c r="AA49" i="48"/>
  <c r="AA50" i="48"/>
  <c r="I42" i="44"/>
  <c r="O21" i="32"/>
  <c r="D68" i="44"/>
  <c r="E68" i="44" s="1"/>
  <c r="F63" i="44"/>
  <c r="F50" i="44"/>
  <c r="F44" i="44"/>
  <c r="G44" i="44" s="1"/>
  <c r="F61" i="44"/>
  <c r="G61" i="44" s="1"/>
  <c r="H61" i="44" s="1"/>
  <c r="I61" i="44" s="1"/>
  <c r="J61" i="44" s="1"/>
  <c r="F54" i="44"/>
  <c r="G54" i="44" s="1"/>
  <c r="H54" i="44" s="1"/>
  <c r="I54" i="44" s="1"/>
  <c r="J54" i="44" s="1"/>
  <c r="F46" i="44"/>
  <c r="G46" i="44" s="1"/>
  <c r="F55" i="44"/>
  <c r="G55" i="44" s="1"/>
  <c r="H55" i="44" s="1"/>
  <c r="I55" i="44" s="1"/>
  <c r="J55" i="44" s="1"/>
  <c r="F59" i="44"/>
  <c r="F56" i="44"/>
  <c r="G56" i="44" s="1"/>
  <c r="H56" i="44" s="1"/>
  <c r="I56" i="44" s="1"/>
  <c r="J56" i="44" s="1"/>
  <c r="F57" i="44"/>
  <c r="F48" i="44"/>
  <c r="F45" i="44"/>
  <c r="F68" i="44"/>
  <c r="M45" i="32" s="1"/>
  <c r="F49" i="44"/>
  <c r="F62" i="44"/>
  <c r="F47" i="44"/>
  <c r="F53" i="44"/>
  <c r="F51" i="44"/>
  <c r="F58" i="44"/>
  <c r="F52" i="44"/>
  <c r="C44" i="44"/>
  <c r="C48" i="44"/>
  <c r="C59" i="44"/>
  <c r="C54" i="44"/>
  <c r="D54" i="44" s="1"/>
  <c r="E54" i="44" s="1"/>
  <c r="C58" i="44"/>
  <c r="J5" i="29" s="1"/>
  <c r="C56" i="44"/>
  <c r="D56" i="44" s="1"/>
  <c r="E56" i="44" s="1"/>
  <c r="C55" i="44"/>
  <c r="D55" i="44" s="1"/>
  <c r="E55" i="44" s="1"/>
  <c r="C57" i="44"/>
  <c r="C50" i="44"/>
  <c r="C53" i="44"/>
  <c r="C46" i="44"/>
  <c r="C51" i="44"/>
  <c r="C45" i="44"/>
  <c r="C61" i="44"/>
  <c r="C67" i="44" s="1"/>
  <c r="J24" i="32" s="1"/>
  <c r="C52" i="44"/>
  <c r="C47" i="44"/>
  <c r="C49" i="44"/>
  <c r="P59" i="44"/>
  <c r="Q59" i="44" s="1"/>
  <c r="R59" i="44" s="1"/>
  <c r="P63" i="44"/>
  <c r="P56" i="44"/>
  <c r="Q56" i="44" s="1"/>
  <c r="R56" i="44" s="1"/>
  <c r="P62" i="44"/>
  <c r="P57" i="44"/>
  <c r="Q57" i="44" s="1"/>
  <c r="R57" i="44" s="1"/>
  <c r="P47" i="44"/>
  <c r="P46" i="44"/>
  <c r="P54" i="44"/>
  <c r="Q54" i="44" s="1"/>
  <c r="R54" i="44" s="1"/>
  <c r="P53" i="44"/>
  <c r="P49" i="44"/>
  <c r="P50" i="44"/>
  <c r="Q50" i="44" s="1"/>
  <c r="P51" i="44"/>
  <c r="P45" i="44"/>
  <c r="P48" i="44"/>
  <c r="Q48" i="44" s="1"/>
  <c r="P55" i="44"/>
  <c r="Q55" i="44" s="1"/>
  <c r="R55" i="44" s="1"/>
  <c r="P52" i="44"/>
  <c r="P68" i="44"/>
  <c r="P61" i="44"/>
  <c r="Q61" i="44" s="1"/>
  <c r="R61" i="44" s="1"/>
  <c r="P44" i="44"/>
  <c r="P58" i="44"/>
  <c r="Q58" i="44" s="1"/>
  <c r="R58" i="44" s="1"/>
  <c r="E63" i="44"/>
  <c r="K45" i="44"/>
  <c r="K63" i="44"/>
  <c r="K48" i="44"/>
  <c r="K52" i="44"/>
  <c r="K61" i="44"/>
  <c r="L61" i="44" s="1"/>
  <c r="M61" i="44" s="1"/>
  <c r="N61" i="44" s="1"/>
  <c r="O61" i="44" s="1"/>
  <c r="K59" i="44"/>
  <c r="K56" i="44"/>
  <c r="L56" i="44" s="1"/>
  <c r="M56" i="44" s="1"/>
  <c r="N56" i="44" s="1"/>
  <c r="O56" i="44" s="1"/>
  <c r="K57" i="44"/>
  <c r="K53" i="44"/>
  <c r="K47" i="44"/>
  <c r="K62" i="44"/>
  <c r="K49" i="44"/>
  <c r="K44" i="44"/>
  <c r="K50" i="44"/>
  <c r="K54" i="44"/>
  <c r="L54" i="44" s="1"/>
  <c r="M54" i="44" s="1"/>
  <c r="N54" i="44" s="1"/>
  <c r="O54" i="44" s="1"/>
  <c r="K46" i="44"/>
  <c r="K51" i="44"/>
  <c r="K68" i="44"/>
  <c r="K58" i="44"/>
  <c r="K55" i="44"/>
  <c r="L55" i="44" s="1"/>
  <c r="M55" i="44" s="1"/>
  <c r="N55" i="44" s="1"/>
  <c r="O55" i="44" s="1"/>
  <c r="D64" i="44"/>
  <c r="E62" i="44"/>
  <c r="N47" i="29"/>
  <c r="K83" i="47" s="1"/>
  <c r="H83" i="47"/>
  <c r="L47" i="29"/>
  <c r="I83" i="47" s="1"/>
  <c r="AF30" i="32"/>
  <c r="V30" i="32"/>
  <c r="O30" i="32"/>
  <c r="AG29" i="32"/>
  <c r="N29" i="32"/>
  <c r="W29" i="32"/>
  <c r="AB47" i="29"/>
  <c r="Y83" i="47" s="1"/>
  <c r="O33" i="29"/>
  <c r="S47" i="29"/>
  <c r="P83" i="47" s="1"/>
  <c r="AF34" i="55" l="1"/>
  <c r="AB128" i="47"/>
  <c r="AK31" i="55"/>
  <c r="AG129" i="47"/>
  <c r="AH27" i="55"/>
  <c r="AD135" i="47"/>
  <c r="AJ37" i="55"/>
  <c r="AF134" i="47"/>
  <c r="AI32" i="55"/>
  <c r="AE131" i="47"/>
  <c r="AJ36" i="55"/>
  <c r="AF133" i="47"/>
  <c r="AH33" i="55"/>
  <c r="AD130" i="47"/>
  <c r="AK28" i="55"/>
  <c r="AG127" i="47"/>
  <c r="G19" i="47"/>
  <c r="AI19" i="47"/>
  <c r="W19" i="47"/>
  <c r="K19" i="47"/>
  <c r="AJ19" i="47"/>
  <c r="AH19" i="47"/>
  <c r="V19" i="47"/>
  <c r="J19" i="47"/>
  <c r="AG19" i="47"/>
  <c r="U19" i="47"/>
  <c r="I19" i="47"/>
  <c r="X19" i="47"/>
  <c r="AF19" i="47"/>
  <c r="T19" i="47"/>
  <c r="H19" i="47"/>
  <c r="AE19" i="47"/>
  <c r="S19" i="47"/>
  <c r="AD19" i="47"/>
  <c r="R19" i="47"/>
  <c r="L19" i="47"/>
  <c r="AC19" i="47"/>
  <c r="Q19" i="47"/>
  <c r="AB19" i="47"/>
  <c r="P19" i="47"/>
  <c r="AM19" i="47"/>
  <c r="AA19" i="47"/>
  <c r="O19" i="47"/>
  <c r="AL19" i="47"/>
  <c r="Z19" i="47"/>
  <c r="N19" i="47"/>
  <c r="AK19" i="47"/>
  <c r="Y19" i="47"/>
  <c r="M19" i="47"/>
  <c r="X50" i="48"/>
  <c r="C90" i="48"/>
  <c r="B90" i="48"/>
  <c r="D90" i="48"/>
  <c r="E89" i="48"/>
  <c r="K89" i="48" s="1"/>
  <c r="L28" i="29"/>
  <c r="N87" i="48"/>
  <c r="M88" i="48"/>
  <c r="L88" i="48"/>
  <c r="N88" i="48" s="1"/>
  <c r="O88" i="48"/>
  <c r="O47" i="29"/>
  <c r="P47" i="29" s="1"/>
  <c r="S61" i="44"/>
  <c r="W51" i="48"/>
  <c r="G89" i="48" s="1"/>
  <c r="S50" i="48"/>
  <c r="Q50" i="48"/>
  <c r="S55" i="44"/>
  <c r="Z50" i="48"/>
  <c r="O55" i="48"/>
  <c r="C12" i="48"/>
  <c r="Y51" i="48" s="1"/>
  <c r="R50" i="48"/>
  <c r="P50" i="48"/>
  <c r="F88" i="48" s="1"/>
  <c r="W50" i="48"/>
  <c r="G88" i="48" s="1"/>
  <c r="R73" i="32"/>
  <c r="R80" i="32" s="1"/>
  <c r="S94" i="32"/>
  <c r="D130" i="48"/>
  <c r="S59" i="44"/>
  <c r="S57" i="44"/>
  <c r="X51" i="48"/>
  <c r="M88" i="53"/>
  <c r="M76" i="53"/>
  <c r="M87" i="53"/>
  <c r="M77" i="53"/>
  <c r="N77" i="53" s="1"/>
  <c r="S58" i="44"/>
  <c r="D236" i="48"/>
  <c r="S54" i="44"/>
  <c r="S56" i="44"/>
  <c r="J42" i="44"/>
  <c r="P21" i="32"/>
  <c r="D166" i="48"/>
  <c r="C232" i="48"/>
  <c r="O12" i="53" a="1"/>
  <c r="O12" i="53" s="1"/>
  <c r="O11" i="53" s="1"/>
  <c r="O6" i="53"/>
  <c r="O67" i="53"/>
  <c r="O104" i="53" s="1"/>
  <c r="O7" i="53"/>
  <c r="O3" i="53"/>
  <c r="P4" i="53"/>
  <c r="O22" i="53"/>
  <c r="U76" i="44"/>
  <c r="T78" i="44"/>
  <c r="T77" i="44"/>
  <c r="T79" i="44"/>
  <c r="Q47" i="44"/>
  <c r="R47" i="44" s="1"/>
  <c r="Q52" i="44"/>
  <c r="R52" i="44" s="1"/>
  <c r="Q46" i="44"/>
  <c r="L48" i="44"/>
  <c r="L68" i="44"/>
  <c r="M68" i="44" s="1"/>
  <c r="G48" i="44"/>
  <c r="H48" i="44" s="1"/>
  <c r="G57" i="44"/>
  <c r="H57" i="44" s="1"/>
  <c r="I57" i="44" s="1"/>
  <c r="J57" i="44" s="1"/>
  <c r="D58" i="44"/>
  <c r="E58" i="44" s="1"/>
  <c r="D53" i="44"/>
  <c r="E53" i="44" s="1"/>
  <c r="F69" i="44"/>
  <c r="L45" i="32"/>
  <c r="E69" i="44"/>
  <c r="H46" i="44"/>
  <c r="L59" i="44"/>
  <c r="M59" i="44" s="1"/>
  <c r="N59" i="44" s="1"/>
  <c r="O59" i="44" s="1"/>
  <c r="Q49" i="44"/>
  <c r="D52" i="44"/>
  <c r="D59" i="44"/>
  <c r="E59" i="44" s="1"/>
  <c r="J28" i="29"/>
  <c r="G62" i="44"/>
  <c r="F65" i="44"/>
  <c r="F64" i="44"/>
  <c r="F67" i="44" s="1"/>
  <c r="M10" i="53"/>
  <c r="F60" i="44"/>
  <c r="D45" i="44"/>
  <c r="K6" i="35"/>
  <c r="D44" i="44"/>
  <c r="J10" i="53"/>
  <c r="C60" i="44"/>
  <c r="G63" i="44"/>
  <c r="F66" i="44"/>
  <c r="G50" i="44"/>
  <c r="R50" i="44"/>
  <c r="Q44" i="44"/>
  <c r="P60" i="44"/>
  <c r="D51" i="44"/>
  <c r="L50" i="44"/>
  <c r="G45" i="44"/>
  <c r="N6" i="35"/>
  <c r="G47" i="44"/>
  <c r="G49" i="44"/>
  <c r="L63" i="44"/>
  <c r="K66" i="44"/>
  <c r="R48" i="44"/>
  <c r="D46" i="44"/>
  <c r="Q53" i="44"/>
  <c r="C66" i="44"/>
  <c r="C65" i="44"/>
  <c r="D48" i="44"/>
  <c r="L44" i="44"/>
  <c r="K60" i="44"/>
  <c r="L45" i="44"/>
  <c r="Q68" i="44"/>
  <c r="L49" i="44"/>
  <c r="L58" i="44"/>
  <c r="M58" i="44" s="1"/>
  <c r="N58" i="44" s="1"/>
  <c r="O58" i="44" s="1"/>
  <c r="Q62" i="44"/>
  <c r="P64" i="44"/>
  <c r="P67" i="44" s="1"/>
  <c r="P65" i="44"/>
  <c r="D50" i="44"/>
  <c r="G68" i="44"/>
  <c r="D47" i="44"/>
  <c r="L62" i="44"/>
  <c r="K64" i="44"/>
  <c r="K67" i="44" s="1"/>
  <c r="K65" i="44"/>
  <c r="D57" i="44"/>
  <c r="E57" i="44" s="1"/>
  <c r="G59" i="44"/>
  <c r="H59" i="44" s="1"/>
  <c r="I59" i="44" s="1"/>
  <c r="J59" i="44" s="1"/>
  <c r="K28" i="29"/>
  <c r="L47" i="44"/>
  <c r="L52" i="44"/>
  <c r="Q63" i="44"/>
  <c r="P66" i="44"/>
  <c r="G58" i="44"/>
  <c r="H58" i="44" s="1"/>
  <c r="I58" i="44" s="1"/>
  <c r="J58" i="44" s="1"/>
  <c r="K5" i="29"/>
  <c r="K18" i="29" s="1"/>
  <c r="H44" i="44"/>
  <c r="N10" i="53"/>
  <c r="D69" i="44"/>
  <c r="K45" i="32"/>
  <c r="L53" i="44"/>
  <c r="Q45" i="44"/>
  <c r="G51" i="44"/>
  <c r="L57" i="44"/>
  <c r="M57" i="44" s="1"/>
  <c r="N57" i="44" s="1"/>
  <c r="O57" i="44" s="1"/>
  <c r="L46" i="44"/>
  <c r="Q51" i="44"/>
  <c r="D49" i="44"/>
  <c r="G53" i="44"/>
  <c r="D61" i="44"/>
  <c r="D67" i="44" s="1"/>
  <c r="K24" i="32" s="1"/>
  <c r="K36" i="32" s="1"/>
  <c r="L51" i="44"/>
  <c r="G52" i="44"/>
  <c r="E64" i="44"/>
  <c r="E24" i="32"/>
  <c r="E36" i="32" s="1"/>
  <c r="J36" i="32"/>
  <c r="T47" i="29"/>
  <c r="Q83" i="47" s="1"/>
  <c r="P30" i="32"/>
  <c r="AG30" i="32"/>
  <c r="W30" i="32"/>
  <c r="O29" i="32"/>
  <c r="X29" i="32"/>
  <c r="AH29" i="32"/>
  <c r="P33" i="29"/>
  <c r="AL47" i="29"/>
  <c r="AC47" i="29"/>
  <c r="Z83" i="47" s="1"/>
  <c r="AJ32" i="55" l="1"/>
  <c r="AF131" i="47"/>
  <c r="AK36" i="55"/>
  <c r="AG133" i="47"/>
  <c r="AK37" i="55"/>
  <c r="AG134" i="47"/>
  <c r="AI27" i="55"/>
  <c r="AE135" i="47"/>
  <c r="AL28" i="55"/>
  <c r="AH127" i="47"/>
  <c r="AL31" i="55"/>
  <c r="AH129" i="47"/>
  <c r="AI33" i="55"/>
  <c r="AE130" i="47"/>
  <c r="AG34" i="55"/>
  <c r="AC128" i="47"/>
  <c r="G14" i="47"/>
  <c r="AM14" i="47"/>
  <c r="AA14" i="47"/>
  <c r="O14" i="47"/>
  <c r="AL14" i="47"/>
  <c r="Z14" i="47"/>
  <c r="N14" i="47"/>
  <c r="AK14" i="47"/>
  <c r="Y14" i="47"/>
  <c r="M14" i="47"/>
  <c r="AJ14" i="47"/>
  <c r="X14" i="47"/>
  <c r="L14" i="47"/>
  <c r="AB14" i="47"/>
  <c r="AI14" i="47"/>
  <c r="W14" i="47"/>
  <c r="K14" i="47"/>
  <c r="AH14" i="47"/>
  <c r="V14" i="47"/>
  <c r="J14" i="47"/>
  <c r="AG14" i="47"/>
  <c r="U14" i="47"/>
  <c r="I14" i="47"/>
  <c r="AF14" i="47"/>
  <c r="T14" i="47"/>
  <c r="H14" i="47"/>
  <c r="P14" i="47"/>
  <c r="AE14" i="47"/>
  <c r="S14" i="47"/>
  <c r="AD14" i="47"/>
  <c r="R14" i="47"/>
  <c r="AC14" i="47"/>
  <c r="Q14" i="47"/>
  <c r="G18" i="47"/>
  <c r="AE18" i="47"/>
  <c r="S18" i="47"/>
  <c r="AD18" i="47"/>
  <c r="R18" i="47"/>
  <c r="AF18" i="47"/>
  <c r="AC18" i="47"/>
  <c r="Q18" i="47"/>
  <c r="AB18" i="47"/>
  <c r="P18" i="47"/>
  <c r="H18" i="47"/>
  <c r="AM18" i="47"/>
  <c r="AA18" i="47"/>
  <c r="O18" i="47"/>
  <c r="AL18" i="47"/>
  <c r="Z18" i="47"/>
  <c r="N18" i="47"/>
  <c r="AK18" i="47"/>
  <c r="Y18" i="47"/>
  <c r="M18" i="47"/>
  <c r="T18" i="47"/>
  <c r="AJ18" i="47"/>
  <c r="X18" i="47"/>
  <c r="L18" i="47"/>
  <c r="AI18" i="47"/>
  <c r="W18" i="47"/>
  <c r="K18" i="47"/>
  <c r="AH18" i="47"/>
  <c r="V18" i="47"/>
  <c r="J18" i="47"/>
  <c r="AG18" i="47"/>
  <c r="U18" i="47"/>
  <c r="I18" i="47"/>
  <c r="G16" i="47"/>
  <c r="AI16" i="47"/>
  <c r="W16" i="47"/>
  <c r="K16" i="47"/>
  <c r="AH16" i="47"/>
  <c r="V16" i="47"/>
  <c r="J16" i="47"/>
  <c r="AG16" i="47"/>
  <c r="U16" i="47"/>
  <c r="I16" i="47"/>
  <c r="AF16" i="47"/>
  <c r="T16" i="47"/>
  <c r="H16" i="47"/>
  <c r="AJ16" i="47"/>
  <c r="AE16" i="47"/>
  <c r="S16" i="47"/>
  <c r="AD16" i="47"/>
  <c r="R16" i="47"/>
  <c r="L16" i="47"/>
  <c r="AC16" i="47"/>
  <c r="Q16" i="47"/>
  <c r="AB16" i="47"/>
  <c r="P16" i="47"/>
  <c r="AM16" i="47"/>
  <c r="AA16" i="47"/>
  <c r="O16" i="47"/>
  <c r="AL16" i="47"/>
  <c r="Z16" i="47"/>
  <c r="N16" i="47"/>
  <c r="X16" i="47"/>
  <c r="AK16" i="47"/>
  <c r="Y16" i="47"/>
  <c r="M16" i="47"/>
  <c r="G15" i="47"/>
  <c r="AE15" i="47"/>
  <c r="S15" i="47"/>
  <c r="AD15" i="47"/>
  <c r="R15" i="47"/>
  <c r="AC15" i="47"/>
  <c r="Q15" i="47"/>
  <c r="AB15" i="47"/>
  <c r="P15" i="47"/>
  <c r="AF15" i="47"/>
  <c r="AM15" i="47"/>
  <c r="AA15" i="47"/>
  <c r="O15" i="47"/>
  <c r="AL15" i="47"/>
  <c r="Z15" i="47"/>
  <c r="N15" i="47"/>
  <c r="AK15" i="47"/>
  <c r="Y15" i="47"/>
  <c r="M15" i="47"/>
  <c r="H15" i="47"/>
  <c r="AJ15" i="47"/>
  <c r="X15" i="47"/>
  <c r="L15" i="47"/>
  <c r="AI15" i="47"/>
  <c r="W15" i="47"/>
  <c r="K15" i="47"/>
  <c r="AH15" i="47"/>
  <c r="V15" i="47"/>
  <c r="J15" i="47"/>
  <c r="AG15" i="47"/>
  <c r="U15" i="47"/>
  <c r="I15" i="47"/>
  <c r="T15" i="47"/>
  <c r="G10" i="47"/>
  <c r="AI10" i="47"/>
  <c r="W10" i="47"/>
  <c r="K10" i="47"/>
  <c r="AH10" i="47"/>
  <c r="V10" i="47"/>
  <c r="J10" i="47"/>
  <c r="AG10" i="47"/>
  <c r="U10" i="47"/>
  <c r="I10" i="47"/>
  <c r="AF10" i="47"/>
  <c r="T10" i="47"/>
  <c r="H10" i="47"/>
  <c r="L10" i="47"/>
  <c r="AE10" i="47"/>
  <c r="S10" i="47"/>
  <c r="AD10" i="47"/>
  <c r="R10" i="47"/>
  <c r="AJ10" i="47"/>
  <c r="AC10" i="47"/>
  <c r="Q10" i="47"/>
  <c r="AB10" i="47"/>
  <c r="P10" i="47"/>
  <c r="X10" i="47"/>
  <c r="AM10" i="47"/>
  <c r="AA10" i="47"/>
  <c r="O10" i="47"/>
  <c r="AL10" i="47"/>
  <c r="Z10" i="47"/>
  <c r="N10" i="47"/>
  <c r="AK10" i="47"/>
  <c r="Y10" i="47"/>
  <c r="M10" i="47"/>
  <c r="G13" i="47"/>
  <c r="AI13" i="47"/>
  <c r="W13" i="47"/>
  <c r="K13" i="47"/>
  <c r="AJ13" i="47"/>
  <c r="AH13" i="47"/>
  <c r="V13" i="47"/>
  <c r="J13" i="47"/>
  <c r="AG13" i="47"/>
  <c r="U13" i="47"/>
  <c r="I13" i="47"/>
  <c r="AF13" i="47"/>
  <c r="T13" i="47"/>
  <c r="H13" i="47"/>
  <c r="L13" i="47"/>
  <c r="AE13" i="47"/>
  <c r="S13" i="47"/>
  <c r="AD13" i="47"/>
  <c r="R13" i="47"/>
  <c r="X13" i="47"/>
  <c r="AC13" i="47"/>
  <c r="Q13" i="47"/>
  <c r="AB13" i="47"/>
  <c r="P13" i="47"/>
  <c r="AM13" i="47"/>
  <c r="AA13" i="47"/>
  <c r="O13" i="47"/>
  <c r="AL13" i="47"/>
  <c r="Z13" i="47"/>
  <c r="N13" i="47"/>
  <c r="AK13" i="47"/>
  <c r="Y13" i="47"/>
  <c r="M13" i="47"/>
  <c r="G20" i="47"/>
  <c r="AM20" i="47"/>
  <c r="AA20" i="47"/>
  <c r="O20" i="47"/>
  <c r="AL20" i="47"/>
  <c r="Z20" i="47"/>
  <c r="N20" i="47"/>
  <c r="AK20" i="47"/>
  <c r="Y20" i="47"/>
  <c r="M20" i="47"/>
  <c r="AJ20" i="47"/>
  <c r="X20" i="47"/>
  <c r="L20" i="47"/>
  <c r="AI20" i="47"/>
  <c r="W20" i="47"/>
  <c r="K20" i="47"/>
  <c r="AH20" i="47"/>
  <c r="V20" i="47"/>
  <c r="J20" i="47"/>
  <c r="AG20" i="47"/>
  <c r="U20" i="47"/>
  <c r="I20" i="47"/>
  <c r="AF20" i="47"/>
  <c r="T20" i="47"/>
  <c r="H20" i="47"/>
  <c r="AE20" i="47"/>
  <c r="S20" i="47"/>
  <c r="AD20" i="47"/>
  <c r="R20" i="47"/>
  <c r="P20" i="47"/>
  <c r="AC20" i="47"/>
  <c r="Q20" i="47"/>
  <c r="AB20" i="47"/>
  <c r="G17" i="47"/>
  <c r="AM17" i="47"/>
  <c r="AA17" i="47"/>
  <c r="O17" i="47"/>
  <c r="AL17" i="47"/>
  <c r="Z17" i="47"/>
  <c r="N17" i="47"/>
  <c r="AK17" i="47"/>
  <c r="Y17" i="47"/>
  <c r="M17" i="47"/>
  <c r="AJ17" i="47"/>
  <c r="X17" i="47"/>
  <c r="L17" i="47"/>
  <c r="AI17" i="47"/>
  <c r="W17" i="47"/>
  <c r="K17" i="47"/>
  <c r="AB17" i="47"/>
  <c r="AH17" i="47"/>
  <c r="V17" i="47"/>
  <c r="J17" i="47"/>
  <c r="AG17" i="47"/>
  <c r="U17" i="47"/>
  <c r="I17" i="47"/>
  <c r="AF17" i="47"/>
  <c r="T17" i="47"/>
  <c r="H17" i="47"/>
  <c r="P17" i="47"/>
  <c r="AE17" i="47"/>
  <c r="S17" i="47"/>
  <c r="AD17" i="47"/>
  <c r="R17" i="47"/>
  <c r="AC17" i="47"/>
  <c r="Q17" i="47"/>
  <c r="G11" i="47"/>
  <c r="AM11" i="47"/>
  <c r="AA11" i="47"/>
  <c r="O11" i="47"/>
  <c r="AL11" i="47"/>
  <c r="Z11" i="47"/>
  <c r="N11" i="47"/>
  <c r="AK11" i="47"/>
  <c r="Y11" i="47"/>
  <c r="M11" i="47"/>
  <c r="AB11" i="47"/>
  <c r="AJ11" i="47"/>
  <c r="X11" i="47"/>
  <c r="L11" i="47"/>
  <c r="AI11" i="47"/>
  <c r="W11" i="47"/>
  <c r="K11" i="47"/>
  <c r="AH11" i="47"/>
  <c r="V11" i="47"/>
  <c r="J11" i="47"/>
  <c r="AG11" i="47"/>
  <c r="U11" i="47"/>
  <c r="I11" i="47"/>
  <c r="AF11" i="47"/>
  <c r="T11" i="47"/>
  <c r="H11" i="47"/>
  <c r="AE11" i="47"/>
  <c r="S11" i="47"/>
  <c r="AD11" i="47"/>
  <c r="R11" i="47"/>
  <c r="AC11" i="47"/>
  <c r="Q11" i="47"/>
  <c r="P11" i="47"/>
  <c r="G12" i="47"/>
  <c r="AE12" i="47"/>
  <c r="S12" i="47"/>
  <c r="AD12" i="47"/>
  <c r="R12" i="47"/>
  <c r="AF12" i="47"/>
  <c r="AC12" i="47"/>
  <c r="Q12" i="47"/>
  <c r="AB12" i="47"/>
  <c r="P12" i="47"/>
  <c r="H12" i="47"/>
  <c r="AM12" i="47"/>
  <c r="AA12" i="47"/>
  <c r="O12" i="47"/>
  <c r="AL12" i="47"/>
  <c r="Z12" i="47"/>
  <c r="N12" i="47"/>
  <c r="AK12" i="47"/>
  <c r="Y12" i="47"/>
  <c r="M12" i="47"/>
  <c r="AJ12" i="47"/>
  <c r="X12" i="47"/>
  <c r="L12" i="47"/>
  <c r="AI12" i="47"/>
  <c r="W12" i="47"/>
  <c r="K12" i="47"/>
  <c r="AH12" i="47"/>
  <c r="V12" i="47"/>
  <c r="J12" i="47"/>
  <c r="T12" i="47"/>
  <c r="AG12" i="47"/>
  <c r="U12" i="47"/>
  <c r="I12" i="47"/>
  <c r="AA51" i="48"/>
  <c r="Z51" i="48"/>
  <c r="L5" i="29"/>
  <c r="L18" i="29" s="1"/>
  <c r="Q51" i="48"/>
  <c r="O89" i="48"/>
  <c r="L89" i="48"/>
  <c r="M89" i="48"/>
  <c r="S51" i="48"/>
  <c r="D91" i="48"/>
  <c r="C91" i="48"/>
  <c r="B91" i="48"/>
  <c r="T51" i="48"/>
  <c r="P51" i="48"/>
  <c r="F89" i="48" s="1"/>
  <c r="I90" i="48"/>
  <c r="E90" i="48"/>
  <c r="K90" i="48" s="1"/>
  <c r="K36" i="29"/>
  <c r="K51" i="29" s="1"/>
  <c r="K24" i="29"/>
  <c r="K17" i="29"/>
  <c r="K16" i="29"/>
  <c r="L83" i="47"/>
  <c r="N87" i="53"/>
  <c r="T80" i="44"/>
  <c r="T59" i="44" s="1"/>
  <c r="Q21" i="32"/>
  <c r="N76" i="53"/>
  <c r="O76" i="53" s="1"/>
  <c r="P12" i="53" a="1"/>
  <c r="P12" i="53" s="1"/>
  <c r="P11" i="53" s="1"/>
  <c r="P22" i="53"/>
  <c r="P25" i="53" s="1"/>
  <c r="P7" i="53"/>
  <c r="P6" i="53"/>
  <c r="Q4" i="53"/>
  <c r="P67" i="53"/>
  <c r="P104" i="53" s="1"/>
  <c r="P3" i="53"/>
  <c r="H88" i="48"/>
  <c r="C233" i="48"/>
  <c r="N88" i="53"/>
  <c r="O88" i="53" s="1"/>
  <c r="R51" i="48"/>
  <c r="U77" i="44"/>
  <c r="V76" i="44"/>
  <c r="U78" i="44"/>
  <c r="U79" i="44"/>
  <c r="U80" i="44" s="1"/>
  <c r="C13" i="48"/>
  <c r="Z52" i="48" s="1"/>
  <c r="O77" i="53"/>
  <c r="T94" i="32"/>
  <c r="S73" i="32"/>
  <c r="S80" i="32" s="1"/>
  <c r="K42" i="44"/>
  <c r="M3" i="29" s="1"/>
  <c r="D237" i="48"/>
  <c r="H89" i="48"/>
  <c r="D167" i="48"/>
  <c r="D131" i="48"/>
  <c r="O56" i="48"/>
  <c r="M48" i="44"/>
  <c r="N48" i="44" s="1"/>
  <c r="R46" i="44"/>
  <c r="S46" i="44" s="1"/>
  <c r="L69" i="44"/>
  <c r="R51" i="44"/>
  <c r="I44" i="44"/>
  <c r="O10" i="53"/>
  <c r="E47" i="44"/>
  <c r="S50" i="44"/>
  <c r="H63" i="44"/>
  <c r="G66" i="44"/>
  <c r="N23" i="32" s="1"/>
  <c r="I48" i="44"/>
  <c r="E61" i="44"/>
  <c r="E67" i="44" s="1"/>
  <c r="L24" i="32" s="1"/>
  <c r="L36" i="32" s="1"/>
  <c r="D66" i="44"/>
  <c r="K23" i="32" s="1"/>
  <c r="K35" i="32" s="1"/>
  <c r="D65" i="44"/>
  <c r="K22" i="32" s="1"/>
  <c r="E50" i="44"/>
  <c r="E51" i="44"/>
  <c r="E44" i="44"/>
  <c r="K10" i="53"/>
  <c r="D60" i="44"/>
  <c r="E52" i="44"/>
  <c r="L66" i="44"/>
  <c r="M63" i="44"/>
  <c r="Q66" i="44"/>
  <c r="R63" i="44"/>
  <c r="M47" i="44"/>
  <c r="E48" i="44"/>
  <c r="E46" i="44"/>
  <c r="M46" i="44"/>
  <c r="H53" i="44"/>
  <c r="J22" i="32"/>
  <c r="E45" i="44"/>
  <c r="M6" i="35" s="1"/>
  <c r="L6" i="35"/>
  <c r="M51" i="44"/>
  <c r="M62" i="44"/>
  <c r="L64" i="44"/>
  <c r="L67" i="44" s="1"/>
  <c r="L65" i="44"/>
  <c r="Q64" i="44"/>
  <c r="Q67" i="44" s="1"/>
  <c r="Q65" i="44"/>
  <c r="R62" i="44"/>
  <c r="J23" i="32"/>
  <c r="R44" i="44"/>
  <c r="Q60" i="44"/>
  <c r="R49" i="44"/>
  <c r="H68" i="44"/>
  <c r="G69" i="44"/>
  <c r="N45" i="32"/>
  <c r="E49" i="44"/>
  <c r="H51" i="44"/>
  <c r="M45" i="44"/>
  <c r="R53" i="44"/>
  <c r="H47" i="44"/>
  <c r="M24" i="32"/>
  <c r="I46" i="44"/>
  <c r="H52" i="44"/>
  <c r="N68" i="44"/>
  <c r="M69" i="44"/>
  <c r="Q69" i="44"/>
  <c r="R68" i="44"/>
  <c r="M22" i="32"/>
  <c r="M53" i="44"/>
  <c r="M49" i="44"/>
  <c r="R45" i="44"/>
  <c r="G60" i="44"/>
  <c r="S52" i="44"/>
  <c r="S48" i="44"/>
  <c r="H49" i="44"/>
  <c r="H45" i="44"/>
  <c r="O6" i="35"/>
  <c r="H50" i="44"/>
  <c r="G64" i="44"/>
  <c r="G67" i="44" s="1"/>
  <c r="N24" i="32" s="1"/>
  <c r="G65" i="44"/>
  <c r="N22" i="32" s="1"/>
  <c r="H62" i="44"/>
  <c r="M52" i="44"/>
  <c r="M44" i="44"/>
  <c r="S47" i="44"/>
  <c r="L60" i="44"/>
  <c r="M50" i="44"/>
  <c r="M23" i="32"/>
  <c r="U47" i="29"/>
  <c r="V47" i="29" s="1"/>
  <c r="AI83" i="47"/>
  <c r="AH30" i="32"/>
  <c r="Q30" i="32"/>
  <c r="X30" i="32"/>
  <c r="AI29" i="32"/>
  <c r="Y29" i="32"/>
  <c r="P29" i="32"/>
  <c r="AD47" i="29"/>
  <c r="AA83" i="47" s="1"/>
  <c r="M83" i="47"/>
  <c r="Q47" i="29"/>
  <c r="N83" i="47" s="1"/>
  <c r="AN47" i="29"/>
  <c r="AM47" i="29" s="1"/>
  <c r="AJ83" i="47" s="1"/>
  <c r="AM28" i="55" l="1"/>
  <c r="AI127" i="47"/>
  <c r="AJ27" i="55"/>
  <c r="AF135" i="47"/>
  <c r="AL37" i="55"/>
  <c r="AH134" i="47"/>
  <c r="AH34" i="55"/>
  <c r="AD128" i="47"/>
  <c r="AL36" i="55"/>
  <c r="AH133" i="47"/>
  <c r="AM31" i="55"/>
  <c r="AI129" i="47"/>
  <c r="AJ33" i="55"/>
  <c r="AF130" i="47"/>
  <c r="AK32" i="55"/>
  <c r="AG131" i="47"/>
  <c r="M43" i="47"/>
  <c r="Y43" i="47"/>
  <c r="AK43" i="47"/>
  <c r="N43" i="47"/>
  <c r="Z43" i="47"/>
  <c r="AL43" i="47"/>
  <c r="O43" i="47"/>
  <c r="AA43" i="47"/>
  <c r="AM43" i="47"/>
  <c r="P43" i="47"/>
  <c r="AB43" i="47"/>
  <c r="Q43" i="47"/>
  <c r="AC43" i="47"/>
  <c r="R43" i="47"/>
  <c r="AD43" i="47"/>
  <c r="G43" i="47"/>
  <c r="S43" i="47"/>
  <c r="AE43" i="47"/>
  <c r="H43" i="47"/>
  <c r="T43" i="47"/>
  <c r="AF43" i="47"/>
  <c r="I43" i="47"/>
  <c r="U43" i="47"/>
  <c r="AG43" i="47"/>
  <c r="J43" i="47"/>
  <c r="V43" i="47"/>
  <c r="AH43" i="47"/>
  <c r="K43" i="47"/>
  <c r="L43" i="47"/>
  <c r="W43" i="47"/>
  <c r="X43" i="47"/>
  <c r="AI43" i="47"/>
  <c r="AJ43" i="47"/>
  <c r="J54" i="47"/>
  <c r="V54" i="47"/>
  <c r="AH54" i="47"/>
  <c r="AG54" i="47"/>
  <c r="K54" i="47"/>
  <c r="W54" i="47"/>
  <c r="AI54" i="47"/>
  <c r="L54" i="47"/>
  <c r="X54" i="47"/>
  <c r="AJ54" i="47"/>
  <c r="T54" i="47"/>
  <c r="I54" i="47"/>
  <c r="M54" i="47"/>
  <c r="Y54" i="47"/>
  <c r="AK54" i="47"/>
  <c r="N54" i="47"/>
  <c r="Z54" i="47"/>
  <c r="AL54" i="47"/>
  <c r="O54" i="47"/>
  <c r="AA54" i="47"/>
  <c r="AM54" i="47"/>
  <c r="U54" i="47"/>
  <c r="P54" i="47"/>
  <c r="AB54" i="47"/>
  <c r="H54" i="47"/>
  <c r="Q54" i="47"/>
  <c r="AC54" i="47"/>
  <c r="R54" i="47"/>
  <c r="AD54" i="47"/>
  <c r="AF54" i="47"/>
  <c r="G54" i="47"/>
  <c r="S54" i="47"/>
  <c r="AE54" i="47"/>
  <c r="G45" i="47"/>
  <c r="S45" i="47"/>
  <c r="AE45" i="47"/>
  <c r="H45" i="47"/>
  <c r="T45" i="47"/>
  <c r="AF45" i="47"/>
  <c r="I45" i="47"/>
  <c r="U45" i="47"/>
  <c r="AG45" i="47"/>
  <c r="J45" i="47"/>
  <c r="V45" i="47"/>
  <c r="AH45" i="47"/>
  <c r="K45" i="47"/>
  <c r="W45" i="47"/>
  <c r="AI45" i="47"/>
  <c r="L45" i="47"/>
  <c r="X45" i="47"/>
  <c r="AJ45" i="47"/>
  <c r="M45" i="47"/>
  <c r="Y45" i="47"/>
  <c r="AK45" i="47"/>
  <c r="N45" i="47"/>
  <c r="Z45" i="47"/>
  <c r="AL45" i="47"/>
  <c r="P45" i="47"/>
  <c r="AB45" i="47"/>
  <c r="O45" i="47"/>
  <c r="Q45" i="47"/>
  <c r="R45" i="47"/>
  <c r="AA45" i="47"/>
  <c r="AC45" i="47"/>
  <c r="AD45" i="47"/>
  <c r="AM45" i="47"/>
  <c r="J46" i="47"/>
  <c r="V46" i="47"/>
  <c r="AH46" i="47"/>
  <c r="K46" i="47"/>
  <c r="W46" i="47"/>
  <c r="AI46" i="47"/>
  <c r="L46" i="47"/>
  <c r="X46" i="47"/>
  <c r="AJ46" i="47"/>
  <c r="M46" i="47"/>
  <c r="Y46" i="47"/>
  <c r="AK46" i="47"/>
  <c r="N46" i="47"/>
  <c r="Z46" i="47"/>
  <c r="AL46" i="47"/>
  <c r="O46" i="47"/>
  <c r="AA46" i="47"/>
  <c r="AM46" i="47"/>
  <c r="P46" i="47"/>
  <c r="AB46" i="47"/>
  <c r="Q46" i="47"/>
  <c r="AC46" i="47"/>
  <c r="G46" i="47"/>
  <c r="S46" i="47"/>
  <c r="AE46" i="47"/>
  <c r="U46" i="47"/>
  <c r="AD46" i="47"/>
  <c r="AF46" i="47"/>
  <c r="T46" i="47"/>
  <c r="AG46" i="47"/>
  <c r="H46" i="47"/>
  <c r="R46" i="47"/>
  <c r="I46" i="47"/>
  <c r="M51" i="47"/>
  <c r="Y51" i="47"/>
  <c r="N51" i="47"/>
  <c r="O51" i="47"/>
  <c r="AA51" i="47"/>
  <c r="P51" i="47"/>
  <c r="R51" i="47"/>
  <c r="AD51" i="47"/>
  <c r="G51" i="47"/>
  <c r="S51" i="47"/>
  <c r="AE51" i="47"/>
  <c r="U51" i="47"/>
  <c r="AK51" i="47"/>
  <c r="V51" i="47"/>
  <c r="AL51" i="47"/>
  <c r="W51" i="47"/>
  <c r="AM51" i="47"/>
  <c r="AJ51" i="47"/>
  <c r="X51" i="47"/>
  <c r="Z51" i="47"/>
  <c r="H51" i="47"/>
  <c r="AB51" i="47"/>
  <c r="I51" i="47"/>
  <c r="AC51" i="47"/>
  <c r="AI51" i="47"/>
  <c r="J51" i="47"/>
  <c r="AF51" i="47"/>
  <c r="T51" i="47"/>
  <c r="K51" i="47"/>
  <c r="AG51" i="47"/>
  <c r="L51" i="47"/>
  <c r="AH51" i="47"/>
  <c r="Q51" i="47"/>
  <c r="P44" i="47"/>
  <c r="AB44" i="47"/>
  <c r="Q44" i="47"/>
  <c r="AC44" i="47"/>
  <c r="R44" i="47"/>
  <c r="AD44" i="47"/>
  <c r="G44" i="47"/>
  <c r="S44" i="47"/>
  <c r="AE44" i="47"/>
  <c r="H44" i="47"/>
  <c r="T44" i="47"/>
  <c r="AF44" i="47"/>
  <c r="I44" i="47"/>
  <c r="U44" i="47"/>
  <c r="AG44" i="47"/>
  <c r="J44" i="47"/>
  <c r="V44" i="47"/>
  <c r="AH44" i="47"/>
  <c r="K44" i="47"/>
  <c r="W44" i="47"/>
  <c r="AI44" i="47"/>
  <c r="L44" i="47"/>
  <c r="X44" i="47"/>
  <c r="M44" i="47"/>
  <c r="Y44" i="47"/>
  <c r="AK44" i="47"/>
  <c r="AM44" i="47"/>
  <c r="AL44" i="47"/>
  <c r="N44" i="47"/>
  <c r="O44" i="47"/>
  <c r="Z44" i="47"/>
  <c r="AA44" i="47"/>
  <c r="AJ44" i="47"/>
  <c r="G49" i="47"/>
  <c r="S49" i="47"/>
  <c r="AE49" i="47"/>
  <c r="H49" i="47"/>
  <c r="T49" i="47"/>
  <c r="AF49" i="47"/>
  <c r="I49" i="47"/>
  <c r="U49" i="47"/>
  <c r="AG49" i="47"/>
  <c r="J49" i="47"/>
  <c r="V49" i="47"/>
  <c r="AH49" i="47"/>
  <c r="K49" i="47"/>
  <c r="W49" i="47"/>
  <c r="AI49" i="47"/>
  <c r="L49" i="47"/>
  <c r="X49" i="47"/>
  <c r="AJ49" i="47"/>
  <c r="M49" i="47"/>
  <c r="Y49" i="47"/>
  <c r="AK49" i="47"/>
  <c r="N49" i="47"/>
  <c r="Z49" i="47"/>
  <c r="AL49" i="47"/>
  <c r="P49" i="47"/>
  <c r="R49" i="47"/>
  <c r="Q49" i="47"/>
  <c r="AA49" i="47"/>
  <c r="AB49" i="47"/>
  <c r="AC49" i="47"/>
  <c r="AD49" i="47"/>
  <c r="AM49" i="47"/>
  <c r="O49" i="47"/>
  <c r="M47" i="47"/>
  <c r="Y47" i="47"/>
  <c r="AK47" i="47"/>
  <c r="N47" i="47"/>
  <c r="Z47" i="47"/>
  <c r="AL47" i="47"/>
  <c r="O47" i="47"/>
  <c r="AA47" i="47"/>
  <c r="AM47" i="47"/>
  <c r="P47" i="47"/>
  <c r="AB47" i="47"/>
  <c r="Q47" i="47"/>
  <c r="AC47" i="47"/>
  <c r="R47" i="47"/>
  <c r="AD47" i="47"/>
  <c r="G47" i="47"/>
  <c r="S47" i="47"/>
  <c r="AE47" i="47"/>
  <c r="H47" i="47"/>
  <c r="T47" i="47"/>
  <c r="AF47" i="47"/>
  <c r="J47" i="47"/>
  <c r="V47" i="47"/>
  <c r="AH47" i="47"/>
  <c r="AJ47" i="47"/>
  <c r="I47" i="47"/>
  <c r="K47" i="47"/>
  <c r="L47" i="47"/>
  <c r="AI47" i="47"/>
  <c r="U47" i="47"/>
  <c r="W47" i="47"/>
  <c r="X47" i="47"/>
  <c r="AG47" i="47"/>
  <c r="J42" i="47"/>
  <c r="V42" i="47"/>
  <c r="AH42" i="47"/>
  <c r="K42" i="47"/>
  <c r="W42" i="47"/>
  <c r="AI42" i="47"/>
  <c r="L42" i="47"/>
  <c r="X42" i="47"/>
  <c r="AJ42" i="47"/>
  <c r="M42" i="47"/>
  <c r="Y42" i="47"/>
  <c r="AK42" i="47"/>
  <c r="N42" i="47"/>
  <c r="Z42" i="47"/>
  <c r="AL42" i="47"/>
  <c r="O42" i="47"/>
  <c r="AA42" i="47"/>
  <c r="AM42" i="47"/>
  <c r="P42" i="47"/>
  <c r="AB42" i="47"/>
  <c r="Q42" i="47"/>
  <c r="AC42" i="47"/>
  <c r="R42" i="47"/>
  <c r="AD42" i="47"/>
  <c r="G42" i="47"/>
  <c r="S42" i="47"/>
  <c r="AE42" i="47"/>
  <c r="H42" i="47"/>
  <c r="I42" i="47"/>
  <c r="AG42" i="47"/>
  <c r="T42" i="47"/>
  <c r="U42" i="47"/>
  <c r="AF42" i="47"/>
  <c r="J50" i="47"/>
  <c r="V50" i="47"/>
  <c r="AH50" i="47"/>
  <c r="K50" i="47"/>
  <c r="W50" i="47"/>
  <c r="AI50" i="47"/>
  <c r="L50" i="47"/>
  <c r="X50" i="47"/>
  <c r="AJ50" i="47"/>
  <c r="M50" i="47"/>
  <c r="Y50" i="47"/>
  <c r="AK50" i="47"/>
  <c r="N50" i="47"/>
  <c r="Z50" i="47"/>
  <c r="AL50" i="47"/>
  <c r="O50" i="47"/>
  <c r="AA50" i="47"/>
  <c r="AM50" i="47"/>
  <c r="P50" i="47"/>
  <c r="AB50" i="47"/>
  <c r="Q50" i="47"/>
  <c r="AC50" i="47"/>
  <c r="U50" i="47"/>
  <c r="AD50" i="47"/>
  <c r="AE50" i="47"/>
  <c r="AF50" i="47"/>
  <c r="AG50" i="47"/>
  <c r="G50" i="47"/>
  <c r="H50" i="47"/>
  <c r="I50" i="47"/>
  <c r="S50" i="47"/>
  <c r="R50" i="47"/>
  <c r="T50" i="47"/>
  <c r="P48" i="47"/>
  <c r="AB48" i="47"/>
  <c r="Q48" i="47"/>
  <c r="AC48" i="47"/>
  <c r="R48" i="47"/>
  <c r="AD48" i="47"/>
  <c r="G48" i="47"/>
  <c r="S48" i="47"/>
  <c r="AE48" i="47"/>
  <c r="H48" i="47"/>
  <c r="T48" i="47"/>
  <c r="AF48" i="47"/>
  <c r="I48" i="47"/>
  <c r="U48" i="47"/>
  <c r="AG48" i="47"/>
  <c r="J48" i="47"/>
  <c r="V48" i="47"/>
  <c r="AH48" i="47"/>
  <c r="K48" i="47"/>
  <c r="W48" i="47"/>
  <c r="AI48" i="47"/>
  <c r="M48" i="47"/>
  <c r="Y48" i="47"/>
  <c r="AK48" i="47"/>
  <c r="L48" i="47"/>
  <c r="N48" i="47"/>
  <c r="O48" i="47"/>
  <c r="X48" i="47"/>
  <c r="Z48" i="47"/>
  <c r="AA48" i="47"/>
  <c r="AJ48" i="47"/>
  <c r="AL48" i="47"/>
  <c r="AM48" i="47"/>
  <c r="M51" i="29"/>
  <c r="T54" i="44"/>
  <c r="L16" i="29"/>
  <c r="N89" i="48"/>
  <c r="T57" i="44"/>
  <c r="T55" i="44"/>
  <c r="T56" i="44"/>
  <c r="O90" i="48"/>
  <c r="M90" i="48"/>
  <c r="L90" i="48"/>
  <c r="N90" i="48" s="1"/>
  <c r="E91" i="48"/>
  <c r="K91" i="48" s="1"/>
  <c r="I91" i="48"/>
  <c r="T58" i="44"/>
  <c r="D92" i="48"/>
  <c r="B92" i="48"/>
  <c r="C92" i="48"/>
  <c r="L24" i="29"/>
  <c r="K23" i="29"/>
  <c r="K22" i="29"/>
  <c r="L17" i="29"/>
  <c r="L36" i="29"/>
  <c r="U94" i="32"/>
  <c r="T73" i="32"/>
  <c r="T80" i="32" s="1"/>
  <c r="C234" i="48"/>
  <c r="C14" i="48"/>
  <c r="Y53" i="48" s="1"/>
  <c r="R52" i="48"/>
  <c r="Y52" i="48"/>
  <c r="P52" i="48"/>
  <c r="F90" i="48" s="1"/>
  <c r="T52" i="48"/>
  <c r="S52" i="48"/>
  <c r="W52" i="48"/>
  <c r="G90" i="48" s="1"/>
  <c r="O57" i="48"/>
  <c r="Q6" i="53"/>
  <c r="R4" i="53"/>
  <c r="Q3" i="53"/>
  <c r="Q7" i="53"/>
  <c r="Q22" i="53"/>
  <c r="Q25" i="53" s="1"/>
  <c r="Q5" i="53"/>
  <c r="Q12" i="53" a="1"/>
  <c r="Q12" i="53" s="1"/>
  <c r="Q11" i="53" s="1"/>
  <c r="Q67" i="53"/>
  <c r="Q104" i="53" s="1"/>
  <c r="U53" i="44"/>
  <c r="U44" i="44"/>
  <c r="U52" i="44"/>
  <c r="U62" i="44"/>
  <c r="U55" i="44"/>
  <c r="U46" i="44"/>
  <c r="U51" i="44"/>
  <c r="U57" i="44"/>
  <c r="U54" i="44"/>
  <c r="U59" i="44"/>
  <c r="U63" i="44"/>
  <c r="U56" i="44"/>
  <c r="U61" i="44"/>
  <c r="U50" i="44"/>
  <c r="U68" i="44"/>
  <c r="U49" i="44"/>
  <c r="U48" i="44"/>
  <c r="U45" i="44"/>
  <c r="U58" i="44"/>
  <c r="U47" i="44"/>
  <c r="D238" i="48"/>
  <c r="L42" i="44"/>
  <c r="R21" i="32"/>
  <c r="S6" i="35"/>
  <c r="S21" i="32"/>
  <c r="S45" i="32" s="1"/>
  <c r="T61" i="44"/>
  <c r="D132" i="48"/>
  <c r="D168" i="48"/>
  <c r="X52" i="48"/>
  <c r="W76" i="44"/>
  <c r="V78" i="44"/>
  <c r="V77" i="44"/>
  <c r="V79" i="44"/>
  <c r="V80" i="44" s="1"/>
  <c r="P8" i="53"/>
  <c r="P76" i="53" s="1"/>
  <c r="Q52" i="48"/>
  <c r="O87" i="53"/>
  <c r="H60" i="44"/>
  <c r="N44" i="44"/>
  <c r="M60" i="44"/>
  <c r="N25" i="32"/>
  <c r="N18" i="32" s="1"/>
  <c r="N34" i="32"/>
  <c r="N37" i="32" s="1"/>
  <c r="N49" i="44"/>
  <c r="I52" i="44"/>
  <c r="S53" i="44"/>
  <c r="S49" i="44"/>
  <c r="J48" i="44"/>
  <c r="N69" i="44"/>
  <c r="O68" i="44"/>
  <c r="I50" i="44"/>
  <c r="J46" i="44"/>
  <c r="N46" i="44"/>
  <c r="M35" i="32"/>
  <c r="M38" i="32" s="1"/>
  <c r="N53" i="44"/>
  <c r="S44" i="44"/>
  <c r="R60" i="44"/>
  <c r="N47" i="44"/>
  <c r="O48" i="44"/>
  <c r="T48" i="44"/>
  <c r="T52" i="44"/>
  <c r="M25" i="32"/>
  <c r="M18" i="32" s="1"/>
  <c r="M34" i="32"/>
  <c r="M37" i="32" s="1"/>
  <c r="S62" i="44"/>
  <c r="R65" i="44"/>
  <c r="R64" i="44"/>
  <c r="R67" i="44" s="1"/>
  <c r="R66" i="44"/>
  <c r="S63" i="44"/>
  <c r="S51" i="44"/>
  <c r="N50" i="44"/>
  <c r="S45" i="44"/>
  <c r="M36" i="32"/>
  <c r="O45" i="32"/>
  <c r="I68" i="44"/>
  <c r="H69" i="44"/>
  <c r="N35" i="32"/>
  <c r="N38" i="32" s="1"/>
  <c r="J44" i="44"/>
  <c r="P10" i="53"/>
  <c r="N36" i="32"/>
  <c r="N45" i="44"/>
  <c r="I53" i="44"/>
  <c r="I45" i="44"/>
  <c r="P6" i="35"/>
  <c r="I51" i="44"/>
  <c r="K34" i="32"/>
  <c r="K25" i="32"/>
  <c r="H66" i="44"/>
  <c r="O23" i="32" s="1"/>
  <c r="I63" i="44"/>
  <c r="N51" i="44"/>
  <c r="R69" i="44"/>
  <c r="S68" i="44"/>
  <c r="I47" i="44"/>
  <c r="K23" i="35"/>
  <c r="H8" i="47" s="1"/>
  <c r="K25" i="35"/>
  <c r="H6" i="47" s="1"/>
  <c r="K26" i="35"/>
  <c r="H7" i="47" s="1"/>
  <c r="K24" i="35"/>
  <c r="H9" i="47" s="1"/>
  <c r="K22" i="35"/>
  <c r="H5" i="47" s="1"/>
  <c r="L10" i="53"/>
  <c r="E60" i="44"/>
  <c r="K38" i="32"/>
  <c r="M64" i="44"/>
  <c r="M67" i="44" s="1"/>
  <c r="N63" i="44"/>
  <c r="M66" i="44"/>
  <c r="E22" i="32"/>
  <c r="J34" i="32"/>
  <c r="J37" i="32" s="1"/>
  <c r="J25" i="32"/>
  <c r="T47" i="44"/>
  <c r="T46" i="44"/>
  <c r="J35" i="32"/>
  <c r="E23" i="32"/>
  <c r="E35" i="32" s="1"/>
  <c r="E38" i="32" s="1"/>
  <c r="M65" i="44"/>
  <c r="N62" i="44"/>
  <c r="E66" i="44"/>
  <c r="L23" i="32" s="1"/>
  <c r="E65" i="44"/>
  <c r="L22" i="32" s="1"/>
  <c r="T50" i="44"/>
  <c r="N52" i="44"/>
  <c r="H64" i="44"/>
  <c r="H67" i="44" s="1"/>
  <c r="O24" i="32" s="1"/>
  <c r="H65" i="44"/>
  <c r="O22" i="32" s="1"/>
  <c r="I62" i="44"/>
  <c r="I49" i="44"/>
  <c r="R83" i="47"/>
  <c r="Y30" i="32"/>
  <c r="AI30" i="32"/>
  <c r="Z29" i="32"/>
  <c r="AJ29" i="32"/>
  <c r="Q29" i="32"/>
  <c r="AE47" i="29"/>
  <c r="S83" i="47"/>
  <c r="W47" i="29"/>
  <c r="AK83" i="47"/>
  <c r="AO47" i="29"/>
  <c r="AM36" i="55" l="1"/>
  <c r="AI133" i="47"/>
  <c r="AN31" i="55"/>
  <c r="AJ129" i="47"/>
  <c r="AI34" i="55"/>
  <c r="AE128" i="47"/>
  <c r="AM37" i="55"/>
  <c r="AI134" i="47"/>
  <c r="AL32" i="55"/>
  <c r="AH131" i="47"/>
  <c r="AK27" i="55"/>
  <c r="AG135" i="47"/>
  <c r="AK33" i="55"/>
  <c r="AG130" i="47"/>
  <c r="AN28" i="55"/>
  <c r="AJ127" i="47"/>
  <c r="G132" i="47"/>
  <c r="S132" i="47"/>
  <c r="AE132" i="47"/>
  <c r="H132" i="47"/>
  <c r="T132" i="47"/>
  <c r="AF132" i="47"/>
  <c r="AD132" i="47"/>
  <c r="I132" i="47"/>
  <c r="U132" i="47"/>
  <c r="AG132" i="47"/>
  <c r="J132" i="47"/>
  <c r="V132" i="47"/>
  <c r="AH132" i="47"/>
  <c r="R132" i="47"/>
  <c r="K132" i="47"/>
  <c r="W132" i="47"/>
  <c r="AI132" i="47"/>
  <c r="L132" i="47"/>
  <c r="X132" i="47"/>
  <c r="AJ132" i="47"/>
  <c r="P132" i="47"/>
  <c r="M132" i="47"/>
  <c r="Y132" i="47"/>
  <c r="AK132" i="47"/>
  <c r="AB132" i="47"/>
  <c r="N132" i="47"/>
  <c r="Z132" i="47"/>
  <c r="AL132" i="47"/>
  <c r="O132" i="47"/>
  <c r="AA132" i="47"/>
  <c r="AM132" i="47"/>
  <c r="Q132" i="47"/>
  <c r="AC132" i="47"/>
  <c r="M23" i="47"/>
  <c r="Y23" i="47"/>
  <c r="AK23" i="47"/>
  <c r="N23" i="47"/>
  <c r="Z23" i="47"/>
  <c r="AL23" i="47"/>
  <c r="O23" i="47"/>
  <c r="AA23" i="47"/>
  <c r="AM23" i="47"/>
  <c r="P23" i="47"/>
  <c r="AB23" i="47"/>
  <c r="Q23" i="47"/>
  <c r="AC23" i="47"/>
  <c r="R23" i="47"/>
  <c r="AD23" i="47"/>
  <c r="G23" i="47"/>
  <c r="S23" i="47"/>
  <c r="AE23" i="47"/>
  <c r="H23" i="47"/>
  <c r="T23" i="47"/>
  <c r="AF23" i="47"/>
  <c r="I23" i="47"/>
  <c r="U23" i="47"/>
  <c r="AG23" i="47"/>
  <c r="J23" i="47"/>
  <c r="V23" i="47"/>
  <c r="AH23" i="47"/>
  <c r="W23" i="47"/>
  <c r="X23" i="47"/>
  <c r="AI23" i="47"/>
  <c r="AJ23" i="47"/>
  <c r="K23" i="47"/>
  <c r="L23" i="47"/>
  <c r="G29" i="47"/>
  <c r="S29" i="47"/>
  <c r="AE29" i="47"/>
  <c r="H29" i="47"/>
  <c r="T29" i="47"/>
  <c r="AF29" i="47"/>
  <c r="I29" i="47"/>
  <c r="U29" i="47"/>
  <c r="AG29" i="47"/>
  <c r="J29" i="47"/>
  <c r="V29" i="47"/>
  <c r="AH29" i="47"/>
  <c r="K29" i="47"/>
  <c r="W29" i="47"/>
  <c r="AI29" i="47"/>
  <c r="L29" i="47"/>
  <c r="X29" i="47"/>
  <c r="AJ29" i="47"/>
  <c r="M29" i="47"/>
  <c r="Y29" i="47"/>
  <c r="AK29" i="47"/>
  <c r="N29" i="47"/>
  <c r="Z29" i="47"/>
  <c r="AL29" i="47"/>
  <c r="O29" i="47"/>
  <c r="AA29" i="47"/>
  <c r="AM29" i="47"/>
  <c r="P29" i="47"/>
  <c r="AB29" i="47"/>
  <c r="AC29" i="47"/>
  <c r="AD29" i="47"/>
  <c r="Q29" i="47"/>
  <c r="R29" i="47"/>
  <c r="J26" i="47"/>
  <c r="V26" i="47"/>
  <c r="AH26" i="47"/>
  <c r="K26" i="47"/>
  <c r="W26" i="47"/>
  <c r="AI26" i="47"/>
  <c r="L26" i="47"/>
  <c r="X26" i="47"/>
  <c r="AJ26" i="47"/>
  <c r="M26" i="47"/>
  <c r="Y26" i="47"/>
  <c r="AK26" i="47"/>
  <c r="N26" i="47"/>
  <c r="Z26" i="47"/>
  <c r="AL26" i="47"/>
  <c r="O26" i="47"/>
  <c r="AA26" i="47"/>
  <c r="AM26" i="47"/>
  <c r="P26" i="47"/>
  <c r="AB26" i="47"/>
  <c r="Q26" i="47"/>
  <c r="AC26" i="47"/>
  <c r="R26" i="47"/>
  <c r="AD26" i="47"/>
  <c r="G26" i="47"/>
  <c r="S26" i="47"/>
  <c r="AE26" i="47"/>
  <c r="H26" i="47"/>
  <c r="I26" i="47"/>
  <c r="T26" i="47"/>
  <c r="U26" i="47"/>
  <c r="AF26" i="47"/>
  <c r="AG26" i="47"/>
  <c r="J22" i="47"/>
  <c r="V22" i="47"/>
  <c r="AH22" i="47"/>
  <c r="K22" i="47"/>
  <c r="W22" i="47"/>
  <c r="AI22" i="47"/>
  <c r="L22" i="47"/>
  <c r="X22" i="47"/>
  <c r="AJ22" i="47"/>
  <c r="M22" i="47"/>
  <c r="Y22" i="47"/>
  <c r="AK22" i="47"/>
  <c r="N22" i="47"/>
  <c r="Z22" i="47"/>
  <c r="AL22" i="47"/>
  <c r="O22" i="47"/>
  <c r="AA22" i="47"/>
  <c r="AM22" i="47"/>
  <c r="P22" i="47"/>
  <c r="AB22" i="47"/>
  <c r="Q22" i="47"/>
  <c r="AC22" i="47"/>
  <c r="R22" i="47"/>
  <c r="AD22" i="47"/>
  <c r="G22" i="47"/>
  <c r="S22" i="47"/>
  <c r="AE22" i="47"/>
  <c r="H22" i="47"/>
  <c r="I22" i="47"/>
  <c r="T22" i="47"/>
  <c r="U22" i="47"/>
  <c r="AF22" i="47"/>
  <c r="AG22" i="47"/>
  <c r="J30" i="47"/>
  <c r="V30" i="47"/>
  <c r="AH30" i="47"/>
  <c r="K30" i="47"/>
  <c r="W30" i="47"/>
  <c r="AI30" i="47"/>
  <c r="L30" i="47"/>
  <c r="X30" i="47"/>
  <c r="AJ30" i="47"/>
  <c r="M30" i="47"/>
  <c r="Y30" i="47"/>
  <c r="AK30" i="47"/>
  <c r="N30" i="47"/>
  <c r="Z30" i="47"/>
  <c r="AL30" i="47"/>
  <c r="O30" i="47"/>
  <c r="AA30" i="47"/>
  <c r="AM30" i="47"/>
  <c r="P30" i="47"/>
  <c r="AB30" i="47"/>
  <c r="Q30" i="47"/>
  <c r="AC30" i="47"/>
  <c r="R30" i="47"/>
  <c r="AD30" i="47"/>
  <c r="G30" i="47"/>
  <c r="S30" i="47"/>
  <c r="AE30" i="47"/>
  <c r="H30" i="47"/>
  <c r="I30" i="47"/>
  <c r="T30" i="47"/>
  <c r="U30" i="47"/>
  <c r="AF30" i="47"/>
  <c r="AG30" i="47"/>
  <c r="G57" i="47"/>
  <c r="S57" i="47"/>
  <c r="AE57" i="47"/>
  <c r="H57" i="47"/>
  <c r="T57" i="47"/>
  <c r="AF57" i="47"/>
  <c r="I57" i="47"/>
  <c r="U57" i="47"/>
  <c r="AG57" i="47"/>
  <c r="AC57" i="47"/>
  <c r="J57" i="47"/>
  <c r="V57" i="47"/>
  <c r="AH57" i="47"/>
  <c r="K57" i="47"/>
  <c r="W57" i="47"/>
  <c r="AI57" i="47"/>
  <c r="L57" i="47"/>
  <c r="X57" i="47"/>
  <c r="AJ57" i="47"/>
  <c r="M57" i="47"/>
  <c r="Y57" i="47"/>
  <c r="AK57" i="47"/>
  <c r="N57" i="47"/>
  <c r="Z57" i="47"/>
  <c r="AL57" i="47"/>
  <c r="O57" i="47"/>
  <c r="AA57" i="47"/>
  <c r="AM57" i="47"/>
  <c r="Q57" i="47"/>
  <c r="AD57" i="47"/>
  <c r="P57" i="47"/>
  <c r="AB57" i="47"/>
  <c r="R57" i="47"/>
  <c r="G21" i="47"/>
  <c r="S21" i="47"/>
  <c r="AE21" i="47"/>
  <c r="H21" i="47"/>
  <c r="T21" i="47"/>
  <c r="AF21" i="47"/>
  <c r="I21" i="47"/>
  <c r="U21" i="47"/>
  <c r="AG21" i="47"/>
  <c r="J21" i="47"/>
  <c r="V21" i="47"/>
  <c r="AH21" i="47"/>
  <c r="K21" i="47"/>
  <c r="W21" i="47"/>
  <c r="AI21" i="47"/>
  <c r="L21" i="47"/>
  <c r="X21" i="47"/>
  <c r="AJ21" i="47"/>
  <c r="M21" i="47"/>
  <c r="Y21" i="47"/>
  <c r="AK21" i="47"/>
  <c r="N21" i="47"/>
  <c r="Z21" i="47"/>
  <c r="AL21" i="47"/>
  <c r="O21" i="47"/>
  <c r="AA21" i="47"/>
  <c r="AM21" i="47"/>
  <c r="P21" i="47"/>
  <c r="AB21" i="47"/>
  <c r="Q21" i="47"/>
  <c r="R21" i="47"/>
  <c r="AC21" i="47"/>
  <c r="AD21" i="47"/>
  <c r="P56" i="47"/>
  <c r="AB56" i="47"/>
  <c r="Q56" i="47"/>
  <c r="AC56" i="47"/>
  <c r="R56" i="47"/>
  <c r="AD56" i="47"/>
  <c r="G56" i="47"/>
  <c r="S56" i="47"/>
  <c r="AE56" i="47"/>
  <c r="H56" i="47"/>
  <c r="T56" i="47"/>
  <c r="AF56" i="47"/>
  <c r="I56" i="47"/>
  <c r="U56" i="47"/>
  <c r="AG56" i="47"/>
  <c r="O56" i="47"/>
  <c r="J56" i="47"/>
  <c r="V56" i="47"/>
  <c r="AH56" i="47"/>
  <c r="Z56" i="47"/>
  <c r="AA56" i="47"/>
  <c r="K56" i="47"/>
  <c r="W56" i="47"/>
  <c r="AI56" i="47"/>
  <c r="N56" i="47"/>
  <c r="AM56" i="47"/>
  <c r="L56" i="47"/>
  <c r="X56" i="47"/>
  <c r="AJ56" i="47"/>
  <c r="M56" i="47"/>
  <c r="Y56" i="47"/>
  <c r="AK56" i="47"/>
  <c r="AL56" i="47"/>
  <c r="G25" i="47"/>
  <c r="S25" i="47"/>
  <c r="AE25" i="47"/>
  <c r="H25" i="47"/>
  <c r="T25" i="47"/>
  <c r="AF25" i="47"/>
  <c r="I25" i="47"/>
  <c r="U25" i="47"/>
  <c r="AG25" i="47"/>
  <c r="J25" i="47"/>
  <c r="V25" i="47"/>
  <c r="AH25" i="47"/>
  <c r="K25" i="47"/>
  <c r="W25" i="47"/>
  <c r="AI25" i="47"/>
  <c r="L25" i="47"/>
  <c r="X25" i="47"/>
  <c r="AJ25" i="47"/>
  <c r="M25" i="47"/>
  <c r="Y25" i="47"/>
  <c r="AK25" i="47"/>
  <c r="N25" i="47"/>
  <c r="Z25" i="47"/>
  <c r="AL25" i="47"/>
  <c r="O25" i="47"/>
  <c r="AA25" i="47"/>
  <c r="AM25" i="47"/>
  <c r="P25" i="47"/>
  <c r="AB25" i="47"/>
  <c r="AC25" i="47"/>
  <c r="AD25" i="47"/>
  <c r="R25" i="47"/>
  <c r="Q25" i="47"/>
  <c r="M55" i="47"/>
  <c r="Y55" i="47"/>
  <c r="AK55" i="47"/>
  <c r="AI55" i="47"/>
  <c r="AJ55" i="47"/>
  <c r="N55" i="47"/>
  <c r="Z55" i="47"/>
  <c r="AL55" i="47"/>
  <c r="O55" i="47"/>
  <c r="AA55" i="47"/>
  <c r="AM55" i="47"/>
  <c r="X55" i="47"/>
  <c r="P55" i="47"/>
  <c r="AB55" i="47"/>
  <c r="Q55" i="47"/>
  <c r="AC55" i="47"/>
  <c r="R55" i="47"/>
  <c r="AD55" i="47"/>
  <c r="G55" i="47"/>
  <c r="S55" i="47"/>
  <c r="AE55" i="47"/>
  <c r="W55" i="47"/>
  <c r="H55" i="47"/>
  <c r="T55" i="47"/>
  <c r="AF55" i="47"/>
  <c r="L55" i="47"/>
  <c r="I55" i="47"/>
  <c r="U55" i="47"/>
  <c r="AG55" i="47"/>
  <c r="J55" i="47"/>
  <c r="V55" i="47"/>
  <c r="AH55" i="47"/>
  <c r="K55" i="47"/>
  <c r="P28" i="47"/>
  <c r="AB28" i="47"/>
  <c r="Q28" i="47"/>
  <c r="AC28" i="47"/>
  <c r="R28" i="47"/>
  <c r="AD28" i="47"/>
  <c r="G28" i="47"/>
  <c r="S28" i="47"/>
  <c r="AE28" i="47"/>
  <c r="H28" i="47"/>
  <c r="T28" i="47"/>
  <c r="AF28" i="47"/>
  <c r="I28" i="47"/>
  <c r="U28" i="47"/>
  <c r="AG28" i="47"/>
  <c r="J28" i="47"/>
  <c r="V28" i="47"/>
  <c r="AH28" i="47"/>
  <c r="K28" i="47"/>
  <c r="W28" i="47"/>
  <c r="AI28" i="47"/>
  <c r="L28" i="47"/>
  <c r="X28" i="47"/>
  <c r="AJ28" i="47"/>
  <c r="M28" i="47"/>
  <c r="Y28" i="47"/>
  <c r="AK28" i="47"/>
  <c r="N28" i="47"/>
  <c r="O28" i="47"/>
  <c r="Z28" i="47"/>
  <c r="AA28" i="47"/>
  <c r="AL28" i="47"/>
  <c r="AM28" i="47"/>
  <c r="G53" i="47"/>
  <c r="S53" i="47"/>
  <c r="AE53" i="47"/>
  <c r="H53" i="47"/>
  <c r="T53" i="47"/>
  <c r="AF53" i="47"/>
  <c r="Q53" i="47"/>
  <c r="I53" i="47"/>
  <c r="U53" i="47"/>
  <c r="AG53" i="47"/>
  <c r="J53" i="47"/>
  <c r="V53" i="47"/>
  <c r="AH53" i="47"/>
  <c r="K53" i="47"/>
  <c r="W53" i="47"/>
  <c r="AI53" i="47"/>
  <c r="L53" i="47"/>
  <c r="X53" i="47"/>
  <c r="AJ53" i="47"/>
  <c r="AC53" i="47"/>
  <c r="M53" i="47"/>
  <c r="Y53" i="47"/>
  <c r="AK53" i="47"/>
  <c r="R53" i="47"/>
  <c r="N53" i="47"/>
  <c r="Z53" i="47"/>
  <c r="AL53" i="47"/>
  <c r="O53" i="47"/>
  <c r="AA53" i="47"/>
  <c r="AM53" i="47"/>
  <c r="P53" i="47"/>
  <c r="AB53" i="47"/>
  <c r="AD53" i="47"/>
  <c r="P52" i="47"/>
  <c r="AB52" i="47"/>
  <c r="AA52" i="47"/>
  <c r="Q52" i="47"/>
  <c r="AC52" i="47"/>
  <c r="R52" i="47"/>
  <c r="AD52" i="47"/>
  <c r="G52" i="47"/>
  <c r="S52" i="47"/>
  <c r="AE52" i="47"/>
  <c r="AL52" i="47"/>
  <c r="H52" i="47"/>
  <c r="T52" i="47"/>
  <c r="AF52" i="47"/>
  <c r="I52" i="47"/>
  <c r="U52" i="47"/>
  <c r="AG52" i="47"/>
  <c r="O52" i="47"/>
  <c r="J52" i="47"/>
  <c r="V52" i="47"/>
  <c r="AH52" i="47"/>
  <c r="K52" i="47"/>
  <c r="W52" i="47"/>
  <c r="AI52" i="47"/>
  <c r="AM52" i="47"/>
  <c r="L52" i="47"/>
  <c r="X52" i="47"/>
  <c r="AJ52" i="47"/>
  <c r="N52" i="47"/>
  <c r="M52" i="47"/>
  <c r="Y52" i="47"/>
  <c r="AK52" i="47"/>
  <c r="Z52" i="47"/>
  <c r="P60" i="47"/>
  <c r="AB60" i="47"/>
  <c r="AA60" i="47"/>
  <c r="Q60" i="47"/>
  <c r="AC60" i="47"/>
  <c r="R60" i="47"/>
  <c r="AD60" i="47"/>
  <c r="N60" i="47"/>
  <c r="AM60" i="47"/>
  <c r="G60" i="47"/>
  <c r="S60" i="47"/>
  <c r="AE60" i="47"/>
  <c r="H60" i="47"/>
  <c r="T60" i="47"/>
  <c r="AF60" i="47"/>
  <c r="I60" i="47"/>
  <c r="U60" i="47"/>
  <c r="AG60" i="47"/>
  <c r="Z60" i="47"/>
  <c r="J60" i="47"/>
  <c r="V60" i="47"/>
  <c r="AH60" i="47"/>
  <c r="AL60" i="47"/>
  <c r="K60" i="47"/>
  <c r="W60" i="47"/>
  <c r="AI60" i="47"/>
  <c r="O60" i="47"/>
  <c r="L60" i="47"/>
  <c r="X60" i="47"/>
  <c r="AJ60" i="47"/>
  <c r="M60" i="47"/>
  <c r="Y60" i="47"/>
  <c r="AK60" i="47"/>
  <c r="M27" i="47"/>
  <c r="Y27" i="47"/>
  <c r="AK27" i="47"/>
  <c r="N27" i="47"/>
  <c r="Z27" i="47"/>
  <c r="AL27" i="47"/>
  <c r="O27" i="47"/>
  <c r="AA27" i="47"/>
  <c r="AM27" i="47"/>
  <c r="P27" i="47"/>
  <c r="AB27" i="47"/>
  <c r="Q27" i="47"/>
  <c r="AC27" i="47"/>
  <c r="R27" i="47"/>
  <c r="AD27" i="47"/>
  <c r="G27" i="47"/>
  <c r="S27" i="47"/>
  <c r="AE27" i="47"/>
  <c r="H27" i="47"/>
  <c r="T27" i="47"/>
  <c r="AF27" i="47"/>
  <c r="I27" i="47"/>
  <c r="U27" i="47"/>
  <c r="AG27" i="47"/>
  <c r="J27" i="47"/>
  <c r="V27" i="47"/>
  <c r="AH27" i="47"/>
  <c r="AI27" i="47"/>
  <c r="AJ27" i="47"/>
  <c r="W27" i="47"/>
  <c r="X27" i="47"/>
  <c r="K27" i="47"/>
  <c r="L27" i="47"/>
  <c r="M59" i="47"/>
  <c r="Y59" i="47"/>
  <c r="AK59" i="47"/>
  <c r="N59" i="47"/>
  <c r="Z59" i="47"/>
  <c r="AL59" i="47"/>
  <c r="O59" i="47"/>
  <c r="AA59" i="47"/>
  <c r="AM59" i="47"/>
  <c r="P59" i="47"/>
  <c r="AB59" i="47"/>
  <c r="Q59" i="47"/>
  <c r="AC59" i="47"/>
  <c r="R59" i="47"/>
  <c r="AD59" i="47"/>
  <c r="L59" i="47"/>
  <c r="G59" i="47"/>
  <c r="S59" i="47"/>
  <c r="AE59" i="47"/>
  <c r="K59" i="47"/>
  <c r="X59" i="47"/>
  <c r="H59" i="47"/>
  <c r="T59" i="47"/>
  <c r="AF59" i="47"/>
  <c r="I59" i="47"/>
  <c r="U59" i="47"/>
  <c r="AG59" i="47"/>
  <c r="AI59" i="47"/>
  <c r="J59" i="47"/>
  <c r="V59" i="47"/>
  <c r="AH59" i="47"/>
  <c r="W59" i="47"/>
  <c r="AJ59" i="47"/>
  <c r="J58" i="47"/>
  <c r="V58" i="47"/>
  <c r="AH58" i="47"/>
  <c r="I58" i="47"/>
  <c r="K58" i="47"/>
  <c r="W58" i="47"/>
  <c r="AI58" i="47"/>
  <c r="L58" i="47"/>
  <c r="X58" i="47"/>
  <c r="AJ58" i="47"/>
  <c r="U58" i="47"/>
  <c r="M58" i="47"/>
  <c r="Y58" i="47"/>
  <c r="AK58" i="47"/>
  <c r="N58" i="47"/>
  <c r="Z58" i="47"/>
  <c r="AL58" i="47"/>
  <c r="O58" i="47"/>
  <c r="AA58" i="47"/>
  <c r="AM58" i="47"/>
  <c r="H58" i="47"/>
  <c r="P58" i="47"/>
  <c r="AB58" i="47"/>
  <c r="T58" i="47"/>
  <c r="Q58" i="47"/>
  <c r="AC58" i="47"/>
  <c r="AG58" i="47"/>
  <c r="R58" i="47"/>
  <c r="AD58" i="47"/>
  <c r="G58" i="47"/>
  <c r="S58" i="47"/>
  <c r="AE58" i="47"/>
  <c r="AF58" i="47"/>
  <c r="G61" i="47"/>
  <c r="S61" i="47"/>
  <c r="AE61" i="47"/>
  <c r="AC61" i="47"/>
  <c r="H61" i="47"/>
  <c r="T61" i="47"/>
  <c r="AF61" i="47"/>
  <c r="I61" i="47"/>
  <c r="U61" i="47"/>
  <c r="AG61" i="47"/>
  <c r="J61" i="47"/>
  <c r="V61" i="47"/>
  <c r="AH61" i="47"/>
  <c r="K61" i="47"/>
  <c r="W61" i="47"/>
  <c r="AI61" i="47"/>
  <c r="L61" i="47"/>
  <c r="X61" i="47"/>
  <c r="AJ61" i="47"/>
  <c r="M61" i="47"/>
  <c r="Y61" i="47"/>
  <c r="AK61" i="47"/>
  <c r="R61" i="47"/>
  <c r="N61" i="47"/>
  <c r="Z61" i="47"/>
  <c r="AL61" i="47"/>
  <c r="Q61" i="47"/>
  <c r="AD61" i="47"/>
  <c r="O61" i="47"/>
  <c r="AA61" i="47"/>
  <c r="AM61" i="47"/>
  <c r="P61" i="47"/>
  <c r="AB61" i="47"/>
  <c r="P24" i="47"/>
  <c r="AB24" i="47"/>
  <c r="Q24" i="47"/>
  <c r="AC24" i="47"/>
  <c r="R24" i="47"/>
  <c r="AD24" i="47"/>
  <c r="G24" i="47"/>
  <c r="S24" i="47"/>
  <c r="AE24" i="47"/>
  <c r="H24" i="47"/>
  <c r="T24" i="47"/>
  <c r="AF24" i="47"/>
  <c r="I24" i="47"/>
  <c r="U24" i="47"/>
  <c r="AG24" i="47"/>
  <c r="J24" i="47"/>
  <c r="V24" i="47"/>
  <c r="AH24" i="47"/>
  <c r="K24" i="47"/>
  <c r="W24" i="47"/>
  <c r="AI24" i="47"/>
  <c r="L24" i="47"/>
  <c r="X24" i="47"/>
  <c r="AJ24" i="47"/>
  <c r="M24" i="47"/>
  <c r="Y24" i="47"/>
  <c r="AK24" i="47"/>
  <c r="N24" i="47"/>
  <c r="O24" i="47"/>
  <c r="Z24" i="47"/>
  <c r="AA24" i="47"/>
  <c r="AL24" i="47"/>
  <c r="AM24" i="47"/>
  <c r="L91" i="48"/>
  <c r="O91" i="48"/>
  <c r="M91" i="48"/>
  <c r="X53" i="48"/>
  <c r="P53" i="48"/>
  <c r="F91" i="48" s="1"/>
  <c r="P87" i="53"/>
  <c r="W53" i="48"/>
  <c r="G91" i="48" s="1"/>
  <c r="V55" i="44"/>
  <c r="V61" i="44"/>
  <c r="AA53" i="48"/>
  <c r="Z53" i="48"/>
  <c r="I92" i="48"/>
  <c r="E92" i="48"/>
  <c r="K92" i="48" s="1"/>
  <c r="R53" i="48"/>
  <c r="D93" i="48"/>
  <c r="C93" i="48"/>
  <c r="B93" i="48"/>
  <c r="R50" i="29"/>
  <c r="O86" i="47" s="1"/>
  <c r="K50" i="29"/>
  <c r="M50" i="29"/>
  <c r="J108" i="47" s="1"/>
  <c r="R49" i="29"/>
  <c r="O85" i="47" s="1"/>
  <c r="K49" i="29"/>
  <c r="M49" i="29"/>
  <c r="R22" i="53"/>
  <c r="R25" i="53" s="1"/>
  <c r="R67" i="53"/>
  <c r="R104" i="53" s="1"/>
  <c r="R12" i="53" a="1"/>
  <c r="R12" i="53" s="1"/>
  <c r="R11" i="53" s="1"/>
  <c r="R7" i="53"/>
  <c r="R3" i="53"/>
  <c r="R10" i="53" s="1"/>
  <c r="S4" i="53"/>
  <c r="R6" i="53"/>
  <c r="R5" i="53"/>
  <c r="S24" i="32"/>
  <c r="S36" i="32" s="1"/>
  <c r="C235" i="48"/>
  <c r="D133" i="48"/>
  <c r="D239" i="48"/>
  <c r="V56" i="44"/>
  <c r="U65" i="44"/>
  <c r="U64" i="44"/>
  <c r="U67" i="44" s="1"/>
  <c r="P88" i="53"/>
  <c r="C15" i="48"/>
  <c r="S54" i="48" s="1"/>
  <c r="T53" i="48"/>
  <c r="Q53" i="48"/>
  <c r="Z54" i="48"/>
  <c r="S53" i="48"/>
  <c r="S23" i="32"/>
  <c r="S35" i="32" s="1"/>
  <c r="S38" i="32" s="1"/>
  <c r="V50" i="44"/>
  <c r="V58" i="44"/>
  <c r="V48" i="44"/>
  <c r="V49" i="44"/>
  <c r="V46" i="44"/>
  <c r="V51" i="44"/>
  <c r="V62" i="44"/>
  <c r="V52" i="44"/>
  <c r="V68" i="44"/>
  <c r="V69" i="44" s="1"/>
  <c r="V57" i="44"/>
  <c r="V47" i="44"/>
  <c r="V53" i="44"/>
  <c r="V45" i="44"/>
  <c r="V59" i="44"/>
  <c r="V44" i="44"/>
  <c r="V63" i="44"/>
  <c r="V66" i="44" s="1"/>
  <c r="U66" i="44"/>
  <c r="V94" i="32"/>
  <c r="U73" i="32"/>
  <c r="U80" i="32" s="1"/>
  <c r="U60" i="44"/>
  <c r="Q8" i="53"/>
  <c r="H90" i="48"/>
  <c r="S22" i="32"/>
  <c r="V54" i="44"/>
  <c r="X76" i="44"/>
  <c r="W77" i="44"/>
  <c r="W78" i="44"/>
  <c r="W79" i="44"/>
  <c r="D169" i="48"/>
  <c r="R45" i="32"/>
  <c r="F45" i="32" s="1"/>
  <c r="R22" i="32"/>
  <c r="R24" i="32"/>
  <c r="R23" i="32"/>
  <c r="O58" i="48"/>
  <c r="P54" i="48"/>
  <c r="F92" i="48" s="1"/>
  <c r="X54" i="48"/>
  <c r="P77" i="53"/>
  <c r="Q77" i="53" s="1"/>
  <c r="M28" i="29"/>
  <c r="M36" i="29" s="1"/>
  <c r="R51" i="29" s="1"/>
  <c r="O108" i="47" s="1"/>
  <c r="M5" i="29"/>
  <c r="M42" i="44"/>
  <c r="T6" i="35"/>
  <c r="L51" i="29"/>
  <c r="H108" i="47"/>
  <c r="N19" i="32"/>
  <c r="L25" i="35"/>
  <c r="I6" i="47" s="1"/>
  <c r="I60" i="44"/>
  <c r="N17" i="32"/>
  <c r="J38" i="32"/>
  <c r="M19" i="32"/>
  <c r="T53" i="44"/>
  <c r="J52" i="44"/>
  <c r="O52" i="44"/>
  <c r="N64" i="44"/>
  <c r="N67" i="44" s="1"/>
  <c r="N66" i="44"/>
  <c r="O63" i="44"/>
  <c r="O66" i="44" s="1"/>
  <c r="O35" i="32"/>
  <c r="O38" i="32" s="1"/>
  <c r="O53" i="44"/>
  <c r="L23" i="35"/>
  <c r="K18" i="32"/>
  <c r="K17" i="32"/>
  <c r="K19" i="32"/>
  <c r="Q10" i="53"/>
  <c r="N65" i="44"/>
  <c r="O62" i="44"/>
  <c r="J68" i="44"/>
  <c r="I69" i="44"/>
  <c r="P45" i="32"/>
  <c r="O47" i="44"/>
  <c r="L24" i="35"/>
  <c r="K37" i="32"/>
  <c r="K39" i="32" s="1"/>
  <c r="J45" i="44"/>
  <c r="R6" i="35" s="1"/>
  <c r="Q6" i="35"/>
  <c r="J50" i="44"/>
  <c r="O49" i="44"/>
  <c r="E34" i="32"/>
  <c r="E37" i="32" s="1"/>
  <c r="E25" i="32"/>
  <c r="E31" i="32" s="1"/>
  <c r="L22" i="35"/>
  <c r="O50" i="44"/>
  <c r="T49" i="44"/>
  <c r="J49" i="44"/>
  <c r="L25" i="32"/>
  <c r="L34" i="32"/>
  <c r="T44" i="44"/>
  <c r="S60" i="44"/>
  <c r="O44" i="44"/>
  <c r="N60" i="44"/>
  <c r="I65" i="44"/>
  <c r="P22" i="32" s="1"/>
  <c r="J62" i="44"/>
  <c r="I64" i="44"/>
  <c r="I67" i="44" s="1"/>
  <c r="P24" i="32" s="1"/>
  <c r="L35" i="32"/>
  <c r="L38" i="32" s="1"/>
  <c r="L26" i="35"/>
  <c r="T63" i="44"/>
  <c r="T66" i="44" s="1"/>
  <c r="S66" i="44"/>
  <c r="M17" i="32"/>
  <c r="P69" i="44"/>
  <c r="O69" i="44"/>
  <c r="S65" i="44"/>
  <c r="T62" i="44"/>
  <c r="S64" i="44"/>
  <c r="S67" i="44" s="1"/>
  <c r="O25" i="32"/>
  <c r="O18" i="32" s="1"/>
  <c r="O34" i="32"/>
  <c r="O37" i="32" s="1"/>
  <c r="J47" i="44"/>
  <c r="O51" i="44"/>
  <c r="J51" i="44"/>
  <c r="J53" i="44"/>
  <c r="I66" i="44"/>
  <c r="P23" i="32" s="1"/>
  <c r="J63" i="44"/>
  <c r="J66" i="44" s="1"/>
  <c r="Q23" i="32" s="1"/>
  <c r="O46" i="44"/>
  <c r="O36" i="32"/>
  <c r="T68" i="44"/>
  <c r="S69" i="44"/>
  <c r="T45" i="44"/>
  <c r="K48" i="29"/>
  <c r="H84" i="47" s="1"/>
  <c r="M48" i="29"/>
  <c r="O45" i="44"/>
  <c r="T51" i="44"/>
  <c r="AJ30" i="32"/>
  <c r="Z30" i="32"/>
  <c r="AK29" i="32"/>
  <c r="AA29" i="32"/>
  <c r="AB83" i="47"/>
  <c r="AF47" i="29"/>
  <c r="AP47" i="29"/>
  <c r="AM83" i="47" s="1"/>
  <c r="AL83" i="47"/>
  <c r="T83" i="47"/>
  <c r="X47" i="29"/>
  <c r="AM32" i="55" l="1"/>
  <c r="AI131" i="47"/>
  <c r="AN37" i="55"/>
  <c r="AJ134" i="47"/>
  <c r="AJ34" i="55"/>
  <c r="AF128" i="47"/>
  <c r="AL27" i="55"/>
  <c r="AH135" i="47"/>
  <c r="AO28" i="55"/>
  <c r="AK127" i="47"/>
  <c r="AK129" i="47"/>
  <c r="AO31" i="55"/>
  <c r="AL33" i="55"/>
  <c r="AH130" i="47"/>
  <c r="AN36" i="55"/>
  <c r="AJ133" i="47"/>
  <c r="N49" i="29"/>
  <c r="J85" i="47"/>
  <c r="L49" i="29"/>
  <c r="I85" i="47" s="1"/>
  <c r="H85" i="47"/>
  <c r="Y54" i="48"/>
  <c r="E93" i="48"/>
  <c r="K93" i="48" s="1"/>
  <c r="I93" i="48"/>
  <c r="M92" i="48"/>
  <c r="L92" i="48"/>
  <c r="N92" i="48" s="1"/>
  <c r="O92" i="48"/>
  <c r="H91" i="48"/>
  <c r="B94" i="48"/>
  <c r="C94" i="48"/>
  <c r="D94" i="48"/>
  <c r="N91" i="48"/>
  <c r="N50" i="29"/>
  <c r="J86" i="47"/>
  <c r="L50" i="29"/>
  <c r="I86" i="47" s="1"/>
  <c r="H86" i="47"/>
  <c r="M17" i="29"/>
  <c r="M23" i="29" s="1"/>
  <c r="M18" i="29"/>
  <c r="M16" i="29"/>
  <c r="M22" i="29" s="1"/>
  <c r="M25" i="35"/>
  <c r="N25" i="35" s="1"/>
  <c r="N51" i="29"/>
  <c r="K108" i="47" s="1"/>
  <c r="N42" i="44"/>
  <c r="U21" i="32" s="1"/>
  <c r="U6" i="35"/>
  <c r="R34" i="32"/>
  <c r="R37" i="32" s="1"/>
  <c r="F22" i="32"/>
  <c r="R25" i="32"/>
  <c r="Y76" i="44"/>
  <c r="X78" i="44"/>
  <c r="X77" i="44"/>
  <c r="X79" i="44"/>
  <c r="F64" i="32"/>
  <c r="F65" i="32"/>
  <c r="F63" i="32"/>
  <c r="F67" i="32"/>
  <c r="F66" i="32"/>
  <c r="F50" i="32"/>
  <c r="F69" i="32"/>
  <c r="F68" i="32"/>
  <c r="R8" i="53"/>
  <c r="C236" i="48"/>
  <c r="D170" i="48"/>
  <c r="C16" i="48"/>
  <c r="T54" i="48"/>
  <c r="AA54" i="48"/>
  <c r="W54" i="48"/>
  <c r="G92" i="48" s="1"/>
  <c r="H92" i="48" s="1"/>
  <c r="Q54" i="48"/>
  <c r="R54" i="48"/>
  <c r="D134" i="48"/>
  <c r="T4" i="53"/>
  <c r="S5" i="53"/>
  <c r="S67" i="53"/>
  <c r="S104" i="53" s="1"/>
  <c r="S6" i="53"/>
  <c r="S22" i="53"/>
  <c r="S25" i="53" s="1"/>
  <c r="S7" i="53"/>
  <c r="S3" i="53"/>
  <c r="S10" i="53" s="1"/>
  <c r="S12" i="53" a="1"/>
  <c r="S12" i="53" s="1"/>
  <c r="S11" i="53" s="1"/>
  <c r="Q76" i="53"/>
  <c r="O59" i="48"/>
  <c r="W80" i="44"/>
  <c r="W94" i="32"/>
  <c r="V73" i="32"/>
  <c r="V80" i="32" s="1"/>
  <c r="D240" i="48"/>
  <c r="F23" i="32"/>
  <c r="F35" i="32" s="1"/>
  <c r="F38" i="32" s="1"/>
  <c r="R35" i="32"/>
  <c r="R38" i="32" s="1"/>
  <c r="Q88" i="53"/>
  <c r="Q87" i="53"/>
  <c r="R36" i="32"/>
  <c r="F24" i="32"/>
  <c r="F36" i="32" s="1"/>
  <c r="S34" i="32"/>
  <c r="S37" i="32" s="1"/>
  <c r="S25" i="32"/>
  <c r="V60" i="44"/>
  <c r="V64" i="44"/>
  <c r="V67" i="44" s="1"/>
  <c r="V65" i="44"/>
  <c r="L48" i="29"/>
  <c r="I84" i="47" s="1"/>
  <c r="O19" i="32"/>
  <c r="J60" i="44"/>
  <c r="K69" i="44"/>
  <c r="Q45" i="32"/>
  <c r="J69" i="44"/>
  <c r="P36" i="32"/>
  <c r="O65" i="44"/>
  <c r="O64" i="44"/>
  <c r="O67" i="44" s="1"/>
  <c r="J84" i="47"/>
  <c r="T69" i="44"/>
  <c r="U69" i="44"/>
  <c r="J64" i="44"/>
  <c r="J67" i="44" s="1"/>
  <c r="Q24" i="32" s="1"/>
  <c r="J65" i="44"/>
  <c r="Q22" i="32" s="1"/>
  <c r="I8" i="47"/>
  <c r="M23" i="35"/>
  <c r="M26" i="35"/>
  <c r="I7" i="47"/>
  <c r="P25" i="32"/>
  <c r="P18" i="32" s="1"/>
  <c r="P34" i="32"/>
  <c r="O17" i="32"/>
  <c r="T64" i="44"/>
  <c r="T67" i="44" s="1"/>
  <c r="T65" i="44"/>
  <c r="T60" i="44"/>
  <c r="Q35" i="32"/>
  <c r="Q38" i="32" s="1"/>
  <c r="L37" i="32"/>
  <c r="M22" i="35"/>
  <c r="I5" i="47"/>
  <c r="P35" i="32"/>
  <c r="P38" i="32" s="1"/>
  <c r="L19" i="32"/>
  <c r="L18" i="32"/>
  <c r="L17" i="32"/>
  <c r="M24" i="35"/>
  <c r="I9" i="47"/>
  <c r="O60" i="44"/>
  <c r="AK30" i="32"/>
  <c r="AA30" i="32"/>
  <c r="AC83" i="47"/>
  <c r="AG47" i="29"/>
  <c r="U83" i="47"/>
  <c r="Y47" i="29"/>
  <c r="AP28" i="55" l="1"/>
  <c r="AM127" i="47" s="1"/>
  <c r="AL127" i="47"/>
  <c r="AM27" i="55"/>
  <c r="AI135" i="47"/>
  <c r="AK34" i="55"/>
  <c r="AG128" i="47"/>
  <c r="AK133" i="47"/>
  <c r="AO36" i="55"/>
  <c r="AK134" i="47"/>
  <c r="AO37" i="55"/>
  <c r="AP31" i="55"/>
  <c r="AM129" i="47" s="1"/>
  <c r="AL129" i="47"/>
  <c r="AM33" i="55"/>
  <c r="AI130" i="47"/>
  <c r="AN32" i="55"/>
  <c r="AJ131" i="47"/>
  <c r="I108" i="47"/>
  <c r="O49" i="29"/>
  <c r="K85" i="47"/>
  <c r="U45" i="32"/>
  <c r="U23" i="32"/>
  <c r="U35" i="32" s="1"/>
  <c r="U38" i="32" s="1"/>
  <c r="U24" i="32"/>
  <c r="U36" i="32" s="1"/>
  <c r="U22" i="32"/>
  <c r="U34" i="32" s="1"/>
  <c r="U37" i="32" s="1"/>
  <c r="M93" i="48"/>
  <c r="O93" i="48"/>
  <c r="L93" i="48"/>
  <c r="B95" i="48"/>
  <c r="C95" i="48"/>
  <c r="D95" i="48"/>
  <c r="I94" i="48"/>
  <c r="E94" i="48"/>
  <c r="K94" i="48" s="1"/>
  <c r="X80" i="44"/>
  <c r="O50" i="29"/>
  <c r="K86" i="47"/>
  <c r="M24" i="29"/>
  <c r="AB49" i="29"/>
  <c r="Y85" i="47" s="1"/>
  <c r="S49" i="29"/>
  <c r="J6" i="47"/>
  <c r="O51" i="29"/>
  <c r="P51" i="29" s="1"/>
  <c r="R66" i="32"/>
  <c r="K66" i="32"/>
  <c r="L66" i="32" s="1"/>
  <c r="M66" i="32" s="1"/>
  <c r="N66" i="32" s="1"/>
  <c r="O66" i="32" s="1"/>
  <c r="P66" i="32" s="1"/>
  <c r="Q66" i="32" s="1"/>
  <c r="W63" i="44"/>
  <c r="W47" i="44"/>
  <c r="W45" i="44"/>
  <c r="W44" i="44"/>
  <c r="W46" i="44"/>
  <c r="W50" i="44"/>
  <c r="W48" i="44"/>
  <c r="W49" i="44"/>
  <c r="W68" i="44"/>
  <c r="W69" i="44" s="1"/>
  <c r="W52" i="44"/>
  <c r="X52" i="44" s="1"/>
  <c r="W51" i="44"/>
  <c r="X51" i="44" s="1"/>
  <c r="W62" i="44"/>
  <c r="W55" i="44"/>
  <c r="W61" i="44"/>
  <c r="S8" i="53"/>
  <c r="R88" i="53"/>
  <c r="R76" i="53"/>
  <c r="R87" i="53"/>
  <c r="R77" i="53"/>
  <c r="R67" i="32"/>
  <c r="K67" i="32"/>
  <c r="L67" i="32" s="1"/>
  <c r="M67" i="32" s="1"/>
  <c r="N67" i="32" s="1"/>
  <c r="O67" i="32" s="1"/>
  <c r="P67" i="32" s="1"/>
  <c r="Q67" i="32" s="1"/>
  <c r="W73" i="32"/>
  <c r="W80" i="32" s="1"/>
  <c r="X94" i="32"/>
  <c r="T22" i="53"/>
  <c r="T25" i="53" s="1"/>
  <c r="U4" i="53"/>
  <c r="T5" i="53"/>
  <c r="T6" i="53"/>
  <c r="T3" i="53"/>
  <c r="T10" i="53" s="1"/>
  <c r="T67" i="53"/>
  <c r="T104" i="53" s="1"/>
  <c r="T7" i="53"/>
  <c r="T12" i="53" a="1"/>
  <c r="T12" i="53" s="1"/>
  <c r="T11" i="53" s="1"/>
  <c r="W56" i="44"/>
  <c r="R63" i="32"/>
  <c r="K63" i="32"/>
  <c r="L63" i="32" s="1"/>
  <c r="M63" i="32" s="1"/>
  <c r="N63" i="32" s="1"/>
  <c r="O63" i="32" s="1"/>
  <c r="P63" i="32" s="1"/>
  <c r="Q63" i="32" s="1"/>
  <c r="W59" i="44"/>
  <c r="W53" i="44"/>
  <c r="W54" i="44"/>
  <c r="K65" i="32"/>
  <c r="L65" i="32" s="1"/>
  <c r="M65" i="32" s="1"/>
  <c r="N65" i="32" s="1"/>
  <c r="O65" i="32" s="1"/>
  <c r="P65" i="32" s="1"/>
  <c r="Q65" i="32" s="1"/>
  <c r="R65" i="32"/>
  <c r="Z76" i="44"/>
  <c r="Y78" i="44"/>
  <c r="Y77" i="44"/>
  <c r="Y79" i="44"/>
  <c r="S18" i="32"/>
  <c r="S19" i="32"/>
  <c r="C17" i="48"/>
  <c r="Z55" i="48"/>
  <c r="T55" i="48"/>
  <c r="W55" i="48"/>
  <c r="G93" i="48" s="1"/>
  <c r="X55" i="48"/>
  <c r="Y56" i="48"/>
  <c r="Y55" i="48"/>
  <c r="Q55" i="48"/>
  <c r="P55" i="48"/>
  <c r="F93" i="48" s="1"/>
  <c r="S55" i="48"/>
  <c r="AA55" i="48"/>
  <c r="R55" i="48"/>
  <c r="K68" i="32"/>
  <c r="L68" i="32" s="1"/>
  <c r="M68" i="32" s="1"/>
  <c r="N68" i="32" s="1"/>
  <c r="O68" i="32" s="1"/>
  <c r="P68" i="32" s="1"/>
  <c r="Q68" i="32" s="1"/>
  <c r="R68" i="32"/>
  <c r="K64" i="32"/>
  <c r="L64" i="32" s="1"/>
  <c r="M64" i="32" s="1"/>
  <c r="N64" i="32" s="1"/>
  <c r="O64" i="32" s="1"/>
  <c r="P64" i="32" s="1"/>
  <c r="Q64" i="32" s="1"/>
  <c r="R64" i="32"/>
  <c r="R18" i="32"/>
  <c r="R17" i="32"/>
  <c r="R19" i="32"/>
  <c r="O60" i="48"/>
  <c r="D135" i="48"/>
  <c r="R56" i="48"/>
  <c r="W58" i="44"/>
  <c r="F34" i="32"/>
  <c r="F37" i="32" s="1"/>
  <c r="F25" i="32"/>
  <c r="F31" i="32" s="1"/>
  <c r="O42" i="44"/>
  <c r="V6" i="35"/>
  <c r="D241" i="48"/>
  <c r="W57" i="44"/>
  <c r="X57" i="44" s="1"/>
  <c r="D171" i="48"/>
  <c r="C237" i="48"/>
  <c r="K69" i="32"/>
  <c r="L69" i="32" s="1"/>
  <c r="M69" i="32" s="1"/>
  <c r="N69" i="32" s="1"/>
  <c r="O69" i="32" s="1"/>
  <c r="P69" i="32" s="1"/>
  <c r="Q69" i="32" s="1"/>
  <c r="R69" i="32"/>
  <c r="S17" i="32"/>
  <c r="P19" i="32"/>
  <c r="N23" i="35"/>
  <c r="J8" i="47"/>
  <c r="N22" i="35"/>
  <c r="J5" i="47"/>
  <c r="O25" i="35"/>
  <c r="K6" i="47"/>
  <c r="P37" i="32"/>
  <c r="P17" i="32"/>
  <c r="N24" i="35"/>
  <c r="J9" i="47"/>
  <c r="Q25" i="32"/>
  <c r="Q18" i="32" s="1"/>
  <c r="Q34" i="32"/>
  <c r="Q37" i="32" s="1"/>
  <c r="J7" i="47"/>
  <c r="N26" i="35"/>
  <c r="Q36" i="32"/>
  <c r="AD83" i="47"/>
  <c r="AH47" i="29"/>
  <c r="V83" i="47"/>
  <c r="Z47" i="29"/>
  <c r="AP36" i="55" l="1"/>
  <c r="AM133" i="47" s="1"/>
  <c r="AL133" i="47"/>
  <c r="AP37" i="55"/>
  <c r="AM134" i="47" s="1"/>
  <c r="AL134" i="47"/>
  <c r="AL34" i="55"/>
  <c r="AH128" i="47"/>
  <c r="AO32" i="55"/>
  <c r="AK131" i="47"/>
  <c r="AN27" i="55"/>
  <c r="AJ135" i="47"/>
  <c r="AN33" i="55"/>
  <c r="AJ130" i="47"/>
  <c r="T8" i="53"/>
  <c r="T49" i="29"/>
  <c r="P85" i="47"/>
  <c r="P49" i="29"/>
  <c r="L85" i="47"/>
  <c r="B96" i="48"/>
  <c r="C96" i="48"/>
  <c r="D96" i="48"/>
  <c r="X58" i="44"/>
  <c r="X54" i="44"/>
  <c r="U25" i="32"/>
  <c r="U18" i="32" s="1"/>
  <c r="E95" i="48"/>
  <c r="K95" i="48" s="1"/>
  <c r="I95" i="48"/>
  <c r="X53" i="44"/>
  <c r="X49" i="44"/>
  <c r="X48" i="44"/>
  <c r="N93" i="48"/>
  <c r="X59" i="44"/>
  <c r="X50" i="44"/>
  <c r="M94" i="48"/>
  <c r="L94" i="48"/>
  <c r="N94" i="48" s="1"/>
  <c r="O94" i="48"/>
  <c r="X46" i="44"/>
  <c r="X56" i="44"/>
  <c r="X45" i="44"/>
  <c r="X61" i="44"/>
  <c r="X47" i="44"/>
  <c r="X55" i="44"/>
  <c r="P50" i="29"/>
  <c r="L86" i="47"/>
  <c r="AB50" i="29"/>
  <c r="Y86" i="47" s="1"/>
  <c r="S50" i="29"/>
  <c r="U19" i="32"/>
  <c r="U17" i="32"/>
  <c r="L108" i="47"/>
  <c r="W66" i="44"/>
  <c r="P42" i="44"/>
  <c r="W6" i="35"/>
  <c r="V21" i="32"/>
  <c r="W21" i="32"/>
  <c r="X6" i="35"/>
  <c r="H93" i="48"/>
  <c r="U7" i="53"/>
  <c r="U6" i="53"/>
  <c r="U22" i="53"/>
  <c r="U25" i="53" s="1"/>
  <c r="U3" i="53"/>
  <c r="U10" i="53" s="1"/>
  <c r="V4" i="53"/>
  <c r="U67" i="53"/>
  <c r="U104" i="53" s="1"/>
  <c r="U12" i="53" a="1"/>
  <c r="U12" i="53" s="1"/>
  <c r="U11" i="53" s="1"/>
  <c r="U5" i="53"/>
  <c r="U8" i="53" s="1"/>
  <c r="W65" i="44"/>
  <c r="W64" i="44"/>
  <c r="W67" i="44" s="1"/>
  <c r="AA76" i="44"/>
  <c r="Z78" i="44"/>
  <c r="Z77" i="44"/>
  <c r="Z79" i="44"/>
  <c r="Z80" i="44" s="1"/>
  <c r="X73" i="32"/>
  <c r="X80" i="32" s="1"/>
  <c r="Y94" i="32"/>
  <c r="W60" i="44"/>
  <c r="O61" i="48"/>
  <c r="X62" i="44"/>
  <c r="D242" i="48"/>
  <c r="R48" i="29"/>
  <c r="O84" i="47" s="1"/>
  <c r="N48" i="29"/>
  <c r="X68" i="44"/>
  <c r="X69" i="44" s="1"/>
  <c r="D172" i="48"/>
  <c r="D136" i="48"/>
  <c r="C18" i="48"/>
  <c r="P56" i="48"/>
  <c r="F94" i="48" s="1"/>
  <c r="Q56" i="48"/>
  <c r="Z56" i="48"/>
  <c r="T56" i="48"/>
  <c r="AA56" i="48"/>
  <c r="W56" i="48"/>
  <c r="G94" i="48" s="1"/>
  <c r="S56" i="48"/>
  <c r="S88" i="53"/>
  <c r="T88" i="53" s="1"/>
  <c r="S87" i="53"/>
  <c r="T87" i="53" s="1"/>
  <c r="S76" i="53"/>
  <c r="T76" i="53" s="1"/>
  <c r="S77" i="53"/>
  <c r="T77" i="53" s="1"/>
  <c r="X44" i="44"/>
  <c r="C238" i="48"/>
  <c r="Y80" i="44"/>
  <c r="Y54" i="44" s="1"/>
  <c r="X63" i="44"/>
  <c r="X66" i="44" s="1"/>
  <c r="X56" i="48"/>
  <c r="M108" i="47"/>
  <c r="Q51" i="29"/>
  <c r="Q19" i="32"/>
  <c r="O23" i="35"/>
  <c r="K8" i="47"/>
  <c r="O26" i="35"/>
  <c r="K7" i="47"/>
  <c r="K9" i="47"/>
  <c r="O24" i="35"/>
  <c r="P25" i="35"/>
  <c r="L6" i="47"/>
  <c r="O22" i="35"/>
  <c r="K5" i="47"/>
  <c r="Q17" i="32"/>
  <c r="AE83" i="47"/>
  <c r="AI47" i="29"/>
  <c r="W83" i="47"/>
  <c r="AA47" i="29"/>
  <c r="X83" i="47" s="1"/>
  <c r="AK130" i="47" l="1"/>
  <c r="AO33" i="55"/>
  <c r="AP32" i="55"/>
  <c r="AM131" i="47" s="1"/>
  <c r="AL131" i="47"/>
  <c r="AM34" i="55"/>
  <c r="AI128" i="47"/>
  <c r="AO27" i="55"/>
  <c r="AK135" i="47"/>
  <c r="Q49" i="29"/>
  <c r="N85" i="47" s="1"/>
  <c r="M85" i="47"/>
  <c r="U49" i="29"/>
  <c r="Q85" i="47"/>
  <c r="Y57" i="44"/>
  <c r="U77" i="53"/>
  <c r="U76" i="53"/>
  <c r="H94" i="48"/>
  <c r="M95" i="48"/>
  <c r="O95" i="48"/>
  <c r="L95" i="48"/>
  <c r="N95" i="48" s="1"/>
  <c r="X60" i="44"/>
  <c r="U87" i="53"/>
  <c r="U88" i="53"/>
  <c r="Y59" i="44"/>
  <c r="B97" i="48"/>
  <c r="D97" i="48"/>
  <c r="C97" i="48"/>
  <c r="I96" i="48"/>
  <c r="E96" i="48"/>
  <c r="K96" i="48" s="1"/>
  <c r="T50" i="29"/>
  <c r="P86" i="47"/>
  <c r="Q50" i="29"/>
  <c r="M86" i="47"/>
  <c r="Y63" i="44"/>
  <c r="Y53" i="44"/>
  <c r="Y47" i="44"/>
  <c r="Y44" i="44"/>
  <c r="Y46" i="44"/>
  <c r="Y49" i="44"/>
  <c r="Y68" i="44"/>
  <c r="Y69" i="44" s="1"/>
  <c r="Y45" i="44"/>
  <c r="Y62" i="44"/>
  <c r="Y51" i="44"/>
  <c r="Y52" i="44"/>
  <c r="Y50" i="44"/>
  <c r="Y48" i="44"/>
  <c r="O62" i="48"/>
  <c r="V45" i="32"/>
  <c r="V23" i="32"/>
  <c r="V35" i="32" s="1"/>
  <c r="V38" i="32" s="1"/>
  <c r="V22" i="32"/>
  <c r="V24" i="32"/>
  <c r="Q42" i="44"/>
  <c r="X65" i="44"/>
  <c r="X64" i="44"/>
  <c r="X67" i="44" s="1"/>
  <c r="C239" i="48"/>
  <c r="C19" i="48"/>
  <c r="C20" i="48" s="1"/>
  <c r="C21" i="48" s="1"/>
  <c r="C22" i="48" s="1"/>
  <c r="C23" i="48" s="1"/>
  <c r="C24" i="48" s="1"/>
  <c r="C25" i="48" s="1"/>
  <c r="C26" i="48" s="1"/>
  <c r="C27" i="48" s="1"/>
  <c r="C28" i="48" s="1"/>
  <c r="C29" i="48" s="1"/>
  <c r="C30" i="48" s="1"/>
  <c r="C31" i="48" s="1"/>
  <c r="C32" i="48" s="1"/>
  <c r="C33" i="48" s="1"/>
  <c r="C34" i="48" s="1"/>
  <c r="C35" i="48" s="1"/>
  <c r="C36" i="48" s="1"/>
  <c r="C37" i="48" s="1"/>
  <c r="C38" i="48" s="1"/>
  <c r="C39" i="48" s="1"/>
  <c r="C40" i="48" s="1"/>
  <c r="AA52" i="48" s="1"/>
  <c r="W57" i="48"/>
  <c r="G95" i="48" s="1"/>
  <c r="Y57" i="48"/>
  <c r="X57" i="48"/>
  <c r="AA57" i="48"/>
  <c r="T57" i="48"/>
  <c r="R57" i="48"/>
  <c r="Q57" i="48"/>
  <c r="S57" i="48"/>
  <c r="Z57" i="48"/>
  <c r="P57" i="48"/>
  <c r="F95" i="48" s="1"/>
  <c r="Z63" i="44"/>
  <c r="Z68" i="44"/>
  <c r="Z45" i="44"/>
  <c r="Z58" i="44"/>
  <c r="Z48" i="44"/>
  <c r="Z52" i="44"/>
  <c r="Z53" i="44"/>
  <c r="Z57" i="44"/>
  <c r="Z44" i="44"/>
  <c r="Z50" i="44"/>
  <c r="Z55" i="44"/>
  <c r="Z46" i="44"/>
  <c r="Z61" i="44"/>
  <c r="Z49" i="44"/>
  <c r="Z56" i="44"/>
  <c r="Z47" i="44"/>
  <c r="Z62" i="44"/>
  <c r="Z59" i="44"/>
  <c r="Z51" i="44"/>
  <c r="Z54" i="44"/>
  <c r="K84" i="47"/>
  <c r="O48" i="29"/>
  <c r="V6" i="53"/>
  <c r="W4" i="53"/>
  <c r="V3" i="53"/>
  <c r="V10" i="53" s="1"/>
  <c r="V12" i="53" a="1"/>
  <c r="V12" i="53" s="1"/>
  <c r="V11" i="53" s="1"/>
  <c r="V7" i="53"/>
  <c r="V22" i="53"/>
  <c r="V25" i="53" s="1"/>
  <c r="V67" i="53"/>
  <c r="V104" i="53" s="1"/>
  <c r="V5" i="53"/>
  <c r="V8" i="53" s="1"/>
  <c r="D137" i="48"/>
  <c r="D173" i="48"/>
  <c r="AB76" i="44"/>
  <c r="AA78" i="44"/>
  <c r="AA77" i="44"/>
  <c r="AA79" i="44"/>
  <c r="Y58" i="44"/>
  <c r="W45" i="32"/>
  <c r="W24" i="32"/>
  <c r="W23" i="32"/>
  <c r="W35" i="32" s="1"/>
  <c r="W38" i="32" s="1"/>
  <c r="W22" i="32"/>
  <c r="Y61" i="44"/>
  <c r="D243" i="48"/>
  <c r="Y56" i="44"/>
  <c r="Z94" i="32"/>
  <c r="Y73" i="32"/>
  <c r="Y80" i="32" s="1"/>
  <c r="Y55" i="44"/>
  <c r="P26" i="35"/>
  <c r="L7" i="47"/>
  <c r="Q25" i="35"/>
  <c r="M6" i="47"/>
  <c r="P24" i="35"/>
  <c r="L9" i="47"/>
  <c r="L8" i="47"/>
  <c r="P23" i="35"/>
  <c r="P22" i="35"/>
  <c r="L5" i="47"/>
  <c r="AF83" i="47"/>
  <c r="AJ47" i="29"/>
  <c r="AP27" i="55" l="1"/>
  <c r="AM135" i="47" s="1"/>
  <c r="AL135" i="47"/>
  <c r="AN34" i="55"/>
  <c r="AJ128" i="47"/>
  <c r="AP33" i="55"/>
  <c r="AM130" i="47" s="1"/>
  <c r="AL130" i="47"/>
  <c r="N86" i="47"/>
  <c r="N108" i="47"/>
  <c r="V49" i="29"/>
  <c r="R85" i="47"/>
  <c r="H95" i="48"/>
  <c r="I97" i="48"/>
  <c r="E97" i="48"/>
  <c r="K97" i="48" s="1"/>
  <c r="W60" i="48"/>
  <c r="L96" i="48"/>
  <c r="N96" i="48" s="1"/>
  <c r="O96" i="48"/>
  <c r="M96" i="48"/>
  <c r="D98" i="48"/>
  <c r="B98" i="48"/>
  <c r="C98" i="48"/>
  <c r="Z59" i="48"/>
  <c r="R60" i="48"/>
  <c r="U50" i="29"/>
  <c r="Q86" i="47"/>
  <c r="Y60" i="44"/>
  <c r="D138" i="48"/>
  <c r="V76" i="53"/>
  <c r="Z64" i="44"/>
  <c r="Z67" i="44" s="1"/>
  <c r="Z65" i="44"/>
  <c r="Z60" i="44"/>
  <c r="Z66" i="44"/>
  <c r="C240" i="48"/>
  <c r="W61" i="48"/>
  <c r="D244" i="48"/>
  <c r="T60" i="48"/>
  <c r="AA60" i="48"/>
  <c r="AA80" i="44"/>
  <c r="Z58" i="48"/>
  <c r="Q60" i="48"/>
  <c r="AA56" i="44"/>
  <c r="S60" i="48"/>
  <c r="Y61" i="48"/>
  <c r="W62" i="48"/>
  <c r="O63" i="48"/>
  <c r="T62" i="48"/>
  <c r="X62" i="48"/>
  <c r="P62" i="48"/>
  <c r="AA62" i="48"/>
  <c r="Z62" i="48"/>
  <c r="Y62" i="48"/>
  <c r="R62" i="48"/>
  <c r="S62" i="48"/>
  <c r="Q62" i="48"/>
  <c r="X60" i="48"/>
  <c r="S58" i="48"/>
  <c r="AA49" i="44"/>
  <c r="R42" i="44"/>
  <c r="Y6" i="35"/>
  <c r="S61" i="48"/>
  <c r="T61" i="48"/>
  <c r="R58" i="48"/>
  <c r="W34" i="32"/>
  <c r="W37" i="32" s="1"/>
  <c r="W25" i="32"/>
  <c r="W18" i="32" s="1"/>
  <c r="AA61" i="44"/>
  <c r="Q59" i="48"/>
  <c r="S59" i="48"/>
  <c r="V36" i="32"/>
  <c r="R61" i="48"/>
  <c r="Z61" i="48"/>
  <c r="Y65" i="44"/>
  <c r="Y64" i="44"/>
  <c r="Y67" i="44" s="1"/>
  <c r="Y66" i="44"/>
  <c r="AA57" i="44"/>
  <c r="X58" i="48"/>
  <c r="AC76" i="44"/>
  <c r="AB77" i="44"/>
  <c r="AB78" i="44"/>
  <c r="AB79" i="44"/>
  <c r="P48" i="29"/>
  <c r="L84" i="47"/>
  <c r="AA54" i="44"/>
  <c r="AA58" i="44"/>
  <c r="W59" i="48"/>
  <c r="G97" i="48" s="1"/>
  <c r="V34" i="32"/>
  <c r="V37" i="32" s="1"/>
  <c r="V25" i="32"/>
  <c r="V18" i="32" s="1"/>
  <c r="P61" i="48"/>
  <c r="X61" i="48"/>
  <c r="Y58" i="48"/>
  <c r="Q58" i="48"/>
  <c r="W36" i="32"/>
  <c r="T58" i="48"/>
  <c r="Z60" i="48"/>
  <c r="D174" i="48"/>
  <c r="AA55" i="44"/>
  <c r="P59" i="48"/>
  <c r="F97" i="48" s="1"/>
  <c r="H97" i="48" s="1"/>
  <c r="R59" i="48"/>
  <c r="X59" i="48"/>
  <c r="W58" i="48"/>
  <c r="G96" i="48" s="1"/>
  <c r="Q61" i="48"/>
  <c r="P58" i="48"/>
  <c r="F96" i="48" s="1"/>
  <c r="AA94" i="32"/>
  <c r="Z73" i="32"/>
  <c r="Z80" i="32" s="1"/>
  <c r="V87" i="53"/>
  <c r="P60" i="48"/>
  <c r="V77" i="53"/>
  <c r="X4" i="53"/>
  <c r="W6" i="53"/>
  <c r="W5" i="53"/>
  <c r="W12" i="53" a="1"/>
  <c r="W12" i="53" s="1"/>
  <c r="W11" i="53" s="1"/>
  <c r="W22" i="53"/>
  <c r="W25" i="53" s="1"/>
  <c r="W3" i="53"/>
  <c r="W10" i="53" s="1"/>
  <c r="W67" i="53"/>
  <c r="W104" i="53" s="1"/>
  <c r="W7" i="53"/>
  <c r="AA58" i="48"/>
  <c r="AA59" i="44"/>
  <c r="Z69" i="44"/>
  <c r="T59" i="48"/>
  <c r="Y59" i="48"/>
  <c r="AA59" i="48"/>
  <c r="AA61" i="48"/>
  <c r="V88" i="53"/>
  <c r="Y60" i="48"/>
  <c r="Q24" i="35"/>
  <c r="M9" i="47"/>
  <c r="R25" i="35"/>
  <c r="N6" i="47"/>
  <c r="Q22" i="35"/>
  <c r="M5" i="47"/>
  <c r="Q23" i="35"/>
  <c r="M8" i="47"/>
  <c r="Q26" i="35"/>
  <c r="M7" i="47"/>
  <c r="AG83" i="47"/>
  <c r="AK47" i="29"/>
  <c r="AH83" i="47" s="1"/>
  <c r="AO34" i="55" l="1"/>
  <c r="AK128" i="47"/>
  <c r="W49" i="29"/>
  <c r="S85" i="47"/>
  <c r="I98" i="48"/>
  <c r="E98" i="48"/>
  <c r="K98" i="48" s="1"/>
  <c r="C99" i="48"/>
  <c r="D99" i="48"/>
  <c r="B99" i="48"/>
  <c r="F98" i="48"/>
  <c r="G98" i="48"/>
  <c r="M97" i="48"/>
  <c r="L97" i="48"/>
  <c r="N97" i="48" s="1"/>
  <c r="O97" i="48"/>
  <c r="H96" i="48"/>
  <c r="AB80" i="44"/>
  <c r="AB61" i="44" s="1"/>
  <c r="V50" i="29"/>
  <c r="R86" i="47"/>
  <c r="V17" i="32"/>
  <c r="W19" i="32"/>
  <c r="AB57" i="44"/>
  <c r="O64" i="48"/>
  <c r="Z63" i="48"/>
  <c r="P63" i="48"/>
  <c r="Q63" i="48"/>
  <c r="R63" i="48"/>
  <c r="AA63" i="48"/>
  <c r="Y63" i="48"/>
  <c r="S63" i="48"/>
  <c r="T63" i="48"/>
  <c r="W63" i="48"/>
  <c r="X63" i="48"/>
  <c r="D139" i="48"/>
  <c r="V19" i="32"/>
  <c r="W8" i="53"/>
  <c r="AB56" i="44"/>
  <c r="AA62" i="44"/>
  <c r="AB62" i="44" s="1"/>
  <c r="AA45" i="44"/>
  <c r="AB45" i="44" s="1"/>
  <c r="AA53" i="44"/>
  <c r="AB53" i="44" s="1"/>
  <c r="AA68" i="44"/>
  <c r="AB68" i="44" s="1"/>
  <c r="AA46" i="44"/>
  <c r="AA47" i="44"/>
  <c r="AB47" i="44" s="1"/>
  <c r="AA51" i="44"/>
  <c r="AB51" i="44" s="1"/>
  <c r="AA48" i="44"/>
  <c r="AB48" i="44" s="1"/>
  <c r="AA50" i="44"/>
  <c r="AB50" i="44" s="1"/>
  <c r="AA52" i="44"/>
  <c r="AB52" i="44" s="1"/>
  <c r="AA63" i="44"/>
  <c r="AA66" i="44" s="1"/>
  <c r="AB49" i="44"/>
  <c r="AA73" i="32"/>
  <c r="AA80" i="32" s="1"/>
  <c r="AB94" i="32"/>
  <c r="AB58" i="44"/>
  <c r="AD76" i="44"/>
  <c r="AC77" i="44"/>
  <c r="AC78" i="44"/>
  <c r="AC79" i="44"/>
  <c r="AC80" i="44" s="1"/>
  <c r="W17" i="32"/>
  <c r="Z6" i="35"/>
  <c r="M84" i="47"/>
  <c r="Q48" i="29"/>
  <c r="N84" i="47" s="1"/>
  <c r="X12" i="53" a="1"/>
  <c r="X12" i="53" s="1"/>
  <c r="X11" i="53" s="1"/>
  <c r="Y4" i="53"/>
  <c r="X5" i="53"/>
  <c r="X7" i="53"/>
  <c r="X3" i="53"/>
  <c r="X10" i="53" s="1"/>
  <c r="X22" i="53"/>
  <c r="X25" i="53" s="1"/>
  <c r="X6" i="53"/>
  <c r="X67" i="53"/>
  <c r="X104" i="53" s="1"/>
  <c r="D175" i="48"/>
  <c r="S42" i="44"/>
  <c r="C241" i="48"/>
  <c r="AA44" i="44"/>
  <c r="AB44" i="44" s="1"/>
  <c r="AB54" i="44"/>
  <c r="AC54" i="44" s="1"/>
  <c r="D245" i="48"/>
  <c r="S25" i="35"/>
  <c r="O6" i="47"/>
  <c r="R24" i="35"/>
  <c r="N9" i="47"/>
  <c r="N7" i="47"/>
  <c r="R26" i="35"/>
  <c r="N8" i="47"/>
  <c r="R23" i="35"/>
  <c r="N5" i="47"/>
  <c r="R22" i="35"/>
  <c r="AP34" i="55" l="1"/>
  <c r="AM128" i="47" s="1"/>
  <c r="AL128" i="47"/>
  <c r="X49" i="29"/>
  <c r="T85" i="47"/>
  <c r="AC58" i="44"/>
  <c r="W76" i="53"/>
  <c r="H98" i="48"/>
  <c r="W77" i="53"/>
  <c r="AB55" i="44"/>
  <c r="AB60" i="44" s="1"/>
  <c r="AB59" i="44"/>
  <c r="C100" i="48"/>
  <c r="B100" i="48"/>
  <c r="D100" i="48"/>
  <c r="I99" i="48"/>
  <c r="F99" i="48"/>
  <c r="G99" i="48"/>
  <c r="E99" i="48"/>
  <c r="K99" i="48" s="1"/>
  <c r="AC61" i="44"/>
  <c r="M98" i="48"/>
  <c r="L98" i="48"/>
  <c r="N98" i="48" s="1"/>
  <c r="O98" i="48"/>
  <c r="AB46" i="44"/>
  <c r="W50" i="29"/>
  <c r="S86" i="47"/>
  <c r="AB63" i="44"/>
  <c r="AB66" i="44" s="1"/>
  <c r="C242" i="48"/>
  <c r="T42" i="44"/>
  <c r="AB6" i="35" s="1"/>
  <c r="AA6" i="35"/>
  <c r="AE76" i="44"/>
  <c r="AD77" i="44"/>
  <c r="AD78" i="44"/>
  <c r="AD79" i="44"/>
  <c r="D176" i="48"/>
  <c r="X8" i="53"/>
  <c r="AB73" i="32"/>
  <c r="AC94" i="32"/>
  <c r="AA65" i="44"/>
  <c r="AA64" i="44"/>
  <c r="AA67" i="44" s="1"/>
  <c r="W88" i="53"/>
  <c r="Y5" i="53"/>
  <c r="Y22" i="53"/>
  <c r="Y25" i="53" s="1"/>
  <c r="Y7" i="53"/>
  <c r="Y3" i="53"/>
  <c r="Y10" i="53" s="1"/>
  <c r="Y12" i="53" a="1"/>
  <c r="Y12" i="53" s="1"/>
  <c r="Y11" i="53" s="1"/>
  <c r="Y67" i="53"/>
  <c r="Y104" i="53" s="1"/>
  <c r="Y6" i="53"/>
  <c r="Z4" i="53"/>
  <c r="AB65" i="44"/>
  <c r="AC56" i="44"/>
  <c r="Q64" i="48"/>
  <c r="W64" i="48"/>
  <c r="S64" i="48"/>
  <c r="T64" i="48"/>
  <c r="X64" i="48"/>
  <c r="AA64" i="48"/>
  <c r="Y64" i="48"/>
  <c r="Z64" i="48"/>
  <c r="O65" i="48"/>
  <c r="P64" i="48"/>
  <c r="R64" i="48"/>
  <c r="D246" i="48"/>
  <c r="AC68" i="44"/>
  <c r="AC69" i="44" s="1"/>
  <c r="AB69" i="44"/>
  <c r="AC59" i="44"/>
  <c r="AC47" i="44"/>
  <c r="AC45" i="44"/>
  <c r="AC49" i="44"/>
  <c r="AC44" i="44"/>
  <c r="AC51" i="44"/>
  <c r="AC48" i="44"/>
  <c r="AC50" i="44"/>
  <c r="AC62" i="44"/>
  <c r="AC53" i="44"/>
  <c r="AC52" i="44"/>
  <c r="AC46" i="44"/>
  <c r="AC57" i="44"/>
  <c r="AA60" i="44"/>
  <c r="AA69" i="44"/>
  <c r="D140" i="48"/>
  <c r="W87" i="53"/>
  <c r="O5" i="47"/>
  <c r="S22" i="35"/>
  <c r="S24" i="35"/>
  <c r="O9" i="47"/>
  <c r="S23" i="35"/>
  <c r="O8" i="47"/>
  <c r="P6" i="47"/>
  <c r="T25" i="35"/>
  <c r="S26" i="35"/>
  <c r="O7" i="47"/>
  <c r="Y49" i="29" l="1"/>
  <c r="U85" i="47"/>
  <c r="H99" i="48"/>
  <c r="AC55" i="44"/>
  <c r="D101" i="48"/>
  <c r="C101" i="48"/>
  <c r="B101" i="48"/>
  <c r="E100" i="48"/>
  <c r="K100" i="48" s="1"/>
  <c r="G100" i="48"/>
  <c r="I100" i="48"/>
  <c r="F100" i="48"/>
  <c r="H100" i="48" s="1"/>
  <c r="X87" i="53"/>
  <c r="X77" i="53"/>
  <c r="L99" i="48"/>
  <c r="N99" i="48" s="1"/>
  <c r="O99" i="48"/>
  <c r="M99" i="48"/>
  <c r="X50" i="29"/>
  <c r="T86" i="47"/>
  <c r="AC63" i="44"/>
  <c r="AC66" i="44" s="1"/>
  <c r="AB64" i="44"/>
  <c r="AB67" i="44" s="1"/>
  <c r="D141" i="48"/>
  <c r="D247" i="48"/>
  <c r="AA4" i="53"/>
  <c r="Z12" i="53" a="1"/>
  <c r="Z12" i="53" s="1"/>
  <c r="Z11" i="53" s="1"/>
  <c r="Z22" i="53"/>
  <c r="Z25" i="53" s="1"/>
  <c r="Z5" i="53"/>
  <c r="Z3" i="53"/>
  <c r="Z10" i="53" s="1"/>
  <c r="Z67" i="53"/>
  <c r="Z104" i="53" s="1"/>
  <c r="Z6" i="53"/>
  <c r="Z7" i="53"/>
  <c r="AD94" i="32"/>
  <c r="AC73" i="32"/>
  <c r="AC80" i="32" s="1"/>
  <c r="AD80" i="44"/>
  <c r="AD55" i="44" s="1"/>
  <c r="X76" i="53"/>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AD57" i="44"/>
  <c r="AC60" i="44"/>
  <c r="X88" i="53"/>
  <c r="AF76" i="44"/>
  <c r="AE77" i="44"/>
  <c r="AE78" i="44"/>
  <c r="AE79" i="44"/>
  <c r="U42" i="44"/>
  <c r="AD56" i="44"/>
  <c r="AD59" i="44"/>
  <c r="C243" i="48"/>
  <c r="AC65" i="44"/>
  <c r="AA65" i="48"/>
  <c r="W65" i="48"/>
  <c r="Z65" i="48"/>
  <c r="Q65" i="48"/>
  <c r="O66" i="48"/>
  <c r="X65" i="48"/>
  <c r="T65" i="48"/>
  <c r="S65" i="48"/>
  <c r="Y65" i="48"/>
  <c r="R65" i="48"/>
  <c r="P65" i="48"/>
  <c r="Y8" i="53"/>
  <c r="Y87" i="53" s="1"/>
  <c r="D177" i="48"/>
  <c r="P9" i="47"/>
  <c r="T24" i="35"/>
  <c r="T26" i="35"/>
  <c r="P7" i="47"/>
  <c r="T23" i="35"/>
  <c r="P8" i="47"/>
  <c r="T22" i="35"/>
  <c r="P5" i="47"/>
  <c r="U25" i="35"/>
  <c r="Q6" i="47"/>
  <c r="Z49" i="29" l="1"/>
  <c r="V85" i="47"/>
  <c r="F101" i="48"/>
  <c r="E101" i="48"/>
  <c r="K101" i="48" s="1"/>
  <c r="I101" i="48"/>
  <c r="G101" i="48"/>
  <c r="C102" i="48"/>
  <c r="D102" i="48"/>
  <c r="B102" i="48"/>
  <c r="M100" i="48"/>
  <c r="L100" i="48"/>
  <c r="N100" i="48" s="1"/>
  <c r="O100" i="48"/>
  <c r="Y50" i="29"/>
  <c r="U86" i="47"/>
  <c r="AC64" i="44"/>
  <c r="AC67" i="44" s="1"/>
  <c r="AG76" i="44"/>
  <c r="AF77" i="44"/>
  <c r="AF78" i="44"/>
  <c r="AF79" i="44"/>
  <c r="AA5" i="53"/>
  <c r="AA3" i="53"/>
  <c r="AA10" i="53" s="1"/>
  <c r="AB4" i="53"/>
  <c r="AA22" i="53"/>
  <c r="AA25" i="53" s="1"/>
  <c r="AA12" i="53" a="1"/>
  <c r="AA12" i="53" s="1"/>
  <c r="AA11" i="53" s="1"/>
  <c r="AA7" i="53"/>
  <c r="AA67" i="53"/>
  <c r="AA104" i="53" s="1"/>
  <c r="AA6" i="53"/>
  <c r="Y76" i="53"/>
  <c r="D178" i="48"/>
  <c r="P66" i="48"/>
  <c r="O67" i="48"/>
  <c r="X66" i="48"/>
  <c r="R66" i="48"/>
  <c r="T66" i="48"/>
  <c r="Y66" i="48"/>
  <c r="AA66" i="48"/>
  <c r="Z66" i="48"/>
  <c r="Q66" i="48"/>
  <c r="S66" i="48"/>
  <c r="W66" i="48"/>
  <c r="C244" i="48"/>
  <c r="D142" i="48"/>
  <c r="V42" i="44"/>
  <c r="W42" i="44" s="1"/>
  <c r="X42" i="44" s="1"/>
  <c r="Y42" i="44" s="1"/>
  <c r="Z42" i="44" s="1"/>
  <c r="AA42" i="44" s="1"/>
  <c r="AB42" i="44" s="1"/>
  <c r="AC42" i="44" s="1"/>
  <c r="AD42" i="44" s="1"/>
  <c r="AE42" i="44" s="1"/>
  <c r="AG6" i="35"/>
  <c r="AD44" i="44"/>
  <c r="AD45" i="44"/>
  <c r="AD47" i="44"/>
  <c r="AD63" i="44"/>
  <c r="AD49" i="44"/>
  <c r="AD68" i="44"/>
  <c r="AD69" i="44" s="1"/>
  <c r="AD46" i="44"/>
  <c r="AD62" i="44"/>
  <c r="AD52" i="44"/>
  <c r="AD53" i="44"/>
  <c r="AD48" i="44"/>
  <c r="AD51" i="44"/>
  <c r="AD50" i="44"/>
  <c r="AD61" i="44"/>
  <c r="AD54" i="44"/>
  <c r="AD58" i="44"/>
  <c r="Y77" i="53"/>
  <c r="AE80" i="44"/>
  <c r="Y88" i="53"/>
  <c r="Z8" i="53"/>
  <c r="AD73" i="32"/>
  <c r="AD80" i="32" s="1"/>
  <c r="AE94" i="32"/>
  <c r="D248" i="48"/>
  <c r="U23" i="35"/>
  <c r="Q8" i="47"/>
  <c r="Q9" i="47"/>
  <c r="U24" i="35"/>
  <c r="V25" i="35"/>
  <c r="R6" i="47"/>
  <c r="U22" i="35"/>
  <c r="Q5" i="47"/>
  <c r="U26" i="35"/>
  <c r="Q7" i="47"/>
  <c r="Z88" i="53" l="1"/>
  <c r="Z77" i="53"/>
  <c r="AA49" i="29"/>
  <c r="X85" i="47" s="1"/>
  <c r="W85" i="47"/>
  <c r="AE6" i="35"/>
  <c r="O3" i="29"/>
  <c r="P3" i="29"/>
  <c r="N3" i="29"/>
  <c r="C103" i="48"/>
  <c r="D103" i="48"/>
  <c r="B103" i="48"/>
  <c r="AA8" i="53"/>
  <c r="E102" i="48"/>
  <c r="K102" i="48" s="1"/>
  <c r="G102" i="48"/>
  <c r="F102" i="48"/>
  <c r="H102" i="48" s="1"/>
  <c r="I102" i="48"/>
  <c r="M101" i="48"/>
  <c r="L101" i="48"/>
  <c r="N101" i="48" s="1"/>
  <c r="O101" i="48"/>
  <c r="H101" i="48"/>
  <c r="Z50" i="29"/>
  <c r="V86" i="47"/>
  <c r="AB67" i="53"/>
  <c r="AB104" i="53" s="1"/>
  <c r="AB12" i="53" a="1"/>
  <c r="AB12" i="53" s="1"/>
  <c r="AB11" i="53" s="1"/>
  <c r="AB22" i="53"/>
  <c r="AB25" i="53" s="1"/>
  <c r="AB5" i="53"/>
  <c r="AB7" i="53"/>
  <c r="AB3" i="53"/>
  <c r="AB10" i="53" s="1"/>
  <c r="AC4" i="53"/>
  <c r="AB6" i="53"/>
  <c r="AE50" i="44"/>
  <c r="AE47" i="44"/>
  <c r="AE44" i="44"/>
  <c r="AE51" i="44"/>
  <c r="AE62" i="44"/>
  <c r="AE49" i="44"/>
  <c r="AE54" i="44"/>
  <c r="AE61" i="44"/>
  <c r="AE56" i="44"/>
  <c r="AE46" i="44"/>
  <c r="AE53" i="44"/>
  <c r="AE52" i="44"/>
  <c r="AE55" i="44"/>
  <c r="AE48" i="44"/>
  <c r="AE45" i="44"/>
  <c r="AM6" i="35" s="1"/>
  <c r="AE57" i="44"/>
  <c r="AE68" i="44"/>
  <c r="AE59" i="44"/>
  <c r="AE63" i="44"/>
  <c r="AE58" i="44"/>
  <c r="AD64" i="44"/>
  <c r="AD67" i="44" s="1"/>
  <c r="AD65" i="44"/>
  <c r="AF80" i="44"/>
  <c r="C245" i="48"/>
  <c r="AG77" i="44"/>
  <c r="AG78" i="44"/>
  <c r="AG79" i="44"/>
  <c r="AF94" i="32"/>
  <c r="AE73" i="32"/>
  <c r="AE80" i="32" s="1"/>
  <c r="AD66" i="44"/>
  <c r="D179" i="48"/>
  <c r="T67" i="48"/>
  <c r="AA67" i="48"/>
  <c r="S67" i="48"/>
  <c r="O68" i="48"/>
  <c r="P67" i="48"/>
  <c r="Q67" i="48"/>
  <c r="X67" i="48"/>
  <c r="W67" i="48"/>
  <c r="Y67" i="48"/>
  <c r="R67" i="48"/>
  <c r="Z67" i="48"/>
  <c r="AL6" i="35"/>
  <c r="AH6" i="35"/>
  <c r="D249" i="48"/>
  <c r="AA88" i="53"/>
  <c r="AA77" i="53"/>
  <c r="AD60" i="44"/>
  <c r="T21" i="32"/>
  <c r="X21" i="32"/>
  <c r="AE21" i="32"/>
  <c r="AI21" i="32"/>
  <c r="AL21" i="32"/>
  <c r="AH21" i="32"/>
  <c r="AG21" i="32"/>
  <c r="AM21" i="32"/>
  <c r="AA21" i="32"/>
  <c r="Z21" i="32"/>
  <c r="Y21" i="32"/>
  <c r="AN21" i="32"/>
  <c r="AJ21" i="32"/>
  <c r="AC21" i="32"/>
  <c r="AD21" i="32"/>
  <c r="AF21" i="32"/>
  <c r="AK21" i="32"/>
  <c r="AK45" i="32" s="1"/>
  <c r="AB21" i="32"/>
  <c r="AJ6" i="35"/>
  <c r="AI6" i="35"/>
  <c r="AF6" i="35"/>
  <c r="AC6" i="35"/>
  <c r="AD6" i="35"/>
  <c r="AK6" i="35"/>
  <c r="D143" i="48"/>
  <c r="Z76" i="53"/>
  <c r="AA76" i="53" s="1"/>
  <c r="Z87" i="53"/>
  <c r="AA87" i="53" s="1"/>
  <c r="V26" i="35"/>
  <c r="R7" i="47"/>
  <c r="V24" i="35"/>
  <c r="R9" i="47"/>
  <c r="R5" i="47"/>
  <c r="V22" i="35"/>
  <c r="R8" i="47"/>
  <c r="V23" i="35"/>
  <c r="W25" i="35"/>
  <c r="S6" i="47"/>
  <c r="M102" i="48" l="1"/>
  <c r="O102" i="48"/>
  <c r="L102" i="48"/>
  <c r="D104" i="48"/>
  <c r="C104" i="48"/>
  <c r="B104" i="48"/>
  <c r="G103" i="48"/>
  <c r="E103" i="48"/>
  <c r="K103" i="48" s="1"/>
  <c r="I103" i="48"/>
  <c r="F103" i="48"/>
  <c r="AA50" i="29"/>
  <c r="X86" i="47" s="1"/>
  <c r="W86" i="47"/>
  <c r="AA45" i="32"/>
  <c r="AA23" i="32"/>
  <c r="AA35" i="32" s="1"/>
  <c r="AA38" i="32" s="1"/>
  <c r="AA22" i="32"/>
  <c r="AA24" i="32"/>
  <c r="AF45" i="32"/>
  <c r="AF24" i="32"/>
  <c r="AF22" i="32"/>
  <c r="AF23" i="32"/>
  <c r="AF35" i="32" s="1"/>
  <c r="AF38" i="32" s="1"/>
  <c r="D250" i="48"/>
  <c r="AK23" i="32"/>
  <c r="AK35" i="32" s="1"/>
  <c r="AK38" i="32" s="1"/>
  <c r="Y45" i="32"/>
  <c r="Y24" i="32"/>
  <c r="Y23" i="32"/>
  <c r="Y35" i="32" s="1"/>
  <c r="Y38" i="32" s="1"/>
  <c r="Y22" i="32"/>
  <c r="AH45" i="32"/>
  <c r="AH23" i="32"/>
  <c r="AH35" i="32" s="1"/>
  <c r="AH38" i="32" s="1"/>
  <c r="AH22" i="32"/>
  <c r="AH24" i="32"/>
  <c r="X45" i="32"/>
  <c r="X22" i="32"/>
  <c r="X23" i="32"/>
  <c r="X35" i="32" s="1"/>
  <c r="X38" i="32" s="1"/>
  <c r="X24" i="32"/>
  <c r="AF58" i="44"/>
  <c r="AF68" i="44"/>
  <c r="AF69" i="44" s="1"/>
  <c r="AF51" i="44"/>
  <c r="AF61" i="44"/>
  <c r="AF63" i="44"/>
  <c r="AF59" i="44"/>
  <c r="AF55" i="44"/>
  <c r="AF57" i="44"/>
  <c r="AF46" i="44"/>
  <c r="AF52" i="44"/>
  <c r="AF54" i="44"/>
  <c r="AF53" i="44"/>
  <c r="AF45" i="44"/>
  <c r="AN6" i="35" s="1"/>
  <c r="AF50" i="44"/>
  <c r="AF56" i="44"/>
  <c r="AF48" i="44"/>
  <c r="AF47" i="44"/>
  <c r="AF49" i="44"/>
  <c r="AF62" i="44"/>
  <c r="AF44" i="44"/>
  <c r="AK22" i="32"/>
  <c r="AB45" i="32"/>
  <c r="G45" i="32" s="1"/>
  <c r="AB22" i="32"/>
  <c r="AB24" i="32"/>
  <c r="AB23" i="32"/>
  <c r="AE45" i="32"/>
  <c r="AE23" i="32"/>
  <c r="AE35" i="32" s="1"/>
  <c r="AE38" i="32" s="1"/>
  <c r="AE24" i="32"/>
  <c r="AE22" i="32"/>
  <c r="T45" i="32"/>
  <c r="T22" i="32"/>
  <c r="T23" i="32"/>
  <c r="T35" i="32" s="1"/>
  <c r="T24" i="32"/>
  <c r="AK24" i="32"/>
  <c r="AE64" i="44"/>
  <c r="AE67" i="44" s="1"/>
  <c r="AE65" i="44"/>
  <c r="AC45" i="32"/>
  <c r="AC23" i="32"/>
  <c r="AC35" i="32" s="1"/>
  <c r="AC38" i="32" s="1"/>
  <c r="AC22" i="32"/>
  <c r="AC24" i="32"/>
  <c r="D180" i="48"/>
  <c r="C246" i="48"/>
  <c r="AB8" i="53"/>
  <c r="AD45" i="32"/>
  <c r="AD23" i="32"/>
  <c r="AD35" i="32" s="1"/>
  <c r="AD38" i="32" s="1"/>
  <c r="AD24" i="32"/>
  <c r="AD22" i="32"/>
  <c r="AJ45" i="32"/>
  <c r="AJ23" i="32"/>
  <c r="AJ22" i="32"/>
  <c r="AJ24" i="32"/>
  <c r="AG45" i="32"/>
  <c r="AG24" i="32"/>
  <c r="AG23" i="32"/>
  <c r="AG35" i="32" s="1"/>
  <c r="AG38" i="32" s="1"/>
  <c r="AG22" i="32"/>
  <c r="Z68" i="48"/>
  <c r="R68" i="48"/>
  <c r="O69" i="48"/>
  <c r="Q68" i="48"/>
  <c r="Y68" i="48"/>
  <c r="AA68" i="48"/>
  <c r="S68" i="48"/>
  <c r="W68" i="48"/>
  <c r="X68" i="48"/>
  <c r="T68" i="48"/>
  <c r="P68" i="48"/>
  <c r="O5" i="29"/>
  <c r="AL45" i="32"/>
  <c r="H45" i="32" s="1"/>
  <c r="AE69" i="44"/>
  <c r="D144" i="48"/>
  <c r="Z45" i="32"/>
  <c r="Z24" i="32"/>
  <c r="Z22" i="32"/>
  <c r="Z23" i="32"/>
  <c r="Z35" i="32" s="1"/>
  <c r="Z38" i="32" s="1"/>
  <c r="AI45" i="32"/>
  <c r="AI23" i="32"/>
  <c r="AI24" i="32"/>
  <c r="AI36" i="32" s="1"/>
  <c r="AI22" i="32"/>
  <c r="AE66" i="44"/>
  <c r="AE60" i="44"/>
  <c r="AC5" i="53"/>
  <c r="AC22" i="53"/>
  <c r="AC25" i="53" s="1"/>
  <c r="AD4" i="53"/>
  <c r="AC7" i="53"/>
  <c r="AC67" i="53"/>
  <c r="AC104" i="53" s="1"/>
  <c r="AC6" i="53"/>
  <c r="AC12" i="53" a="1"/>
  <c r="AC12" i="53" s="1"/>
  <c r="AC11" i="53" s="1"/>
  <c r="AC3" i="53"/>
  <c r="AC10" i="53" s="1"/>
  <c r="AO21" i="32"/>
  <c r="AP21" i="32" s="1"/>
  <c r="N5" i="29"/>
  <c r="N18" i="29" s="1"/>
  <c r="N28" i="29"/>
  <c r="N36" i="29" s="1"/>
  <c r="AF73" i="32"/>
  <c r="AF80" i="32" s="1"/>
  <c r="AG94" i="32"/>
  <c r="AG80" i="44"/>
  <c r="O28" i="29"/>
  <c r="W26" i="35"/>
  <c r="S7" i="47"/>
  <c r="W24" i="35"/>
  <c r="S9" i="47"/>
  <c r="X25" i="35"/>
  <c r="T6" i="47"/>
  <c r="S5" i="47"/>
  <c r="W22" i="35"/>
  <c r="W23" i="35"/>
  <c r="S8" i="47"/>
  <c r="M103" i="48" l="1"/>
  <c r="L103" i="48"/>
  <c r="O103" i="48"/>
  <c r="F104" i="48"/>
  <c r="G104" i="48"/>
  <c r="E104" i="48"/>
  <c r="K104" i="48" s="1"/>
  <c r="I104" i="48"/>
  <c r="N102" i="48"/>
  <c r="B105" i="48"/>
  <c r="C105" i="48"/>
  <c r="D105" i="48"/>
  <c r="H103" i="48"/>
  <c r="O18" i="29"/>
  <c r="N24" i="29"/>
  <c r="N17" i="29"/>
  <c r="N23" i="29" s="1"/>
  <c r="N16" i="29"/>
  <c r="AL22" i="32"/>
  <c r="AL34" i="32" s="1"/>
  <c r="AL37" i="32" s="1"/>
  <c r="AM45" i="32"/>
  <c r="AL24" i="32"/>
  <c r="H24" i="32" s="1"/>
  <c r="H36" i="32" s="1"/>
  <c r="O36" i="29"/>
  <c r="AL51" i="29" s="1"/>
  <c r="AH34" i="32"/>
  <c r="AH37" i="32" s="1"/>
  <c r="AH25" i="32"/>
  <c r="AH18" i="32" s="1"/>
  <c r="D251" i="48"/>
  <c r="AI34" i="32"/>
  <c r="AI37" i="32" s="1"/>
  <c r="AI25" i="32"/>
  <c r="AI19" i="32" s="1"/>
  <c r="Z34" i="32"/>
  <c r="Z37" i="32" s="1"/>
  <c r="Z25" i="32"/>
  <c r="Z18" i="32" s="1"/>
  <c r="AD34" i="32"/>
  <c r="AD37" i="32" s="1"/>
  <c r="AD25" i="32"/>
  <c r="AD18" i="32" s="1"/>
  <c r="AB36" i="32"/>
  <c r="G24" i="32"/>
  <c r="G36" i="32" s="1"/>
  <c r="AH36" i="32"/>
  <c r="AF36" i="32"/>
  <c r="AA36" i="32"/>
  <c r="AG45" i="44"/>
  <c r="AO6" i="35" s="1"/>
  <c r="AP6" i="35" s="1"/>
  <c r="AG52" i="44"/>
  <c r="AG61" i="44"/>
  <c r="AG48" i="44"/>
  <c r="AG56" i="44"/>
  <c r="AG54" i="44"/>
  <c r="AG47" i="44"/>
  <c r="AG49" i="44"/>
  <c r="AG58" i="44"/>
  <c r="P5" i="29" s="1"/>
  <c r="AG63" i="44"/>
  <c r="AG53" i="44"/>
  <c r="AG68" i="44"/>
  <c r="AG51" i="44"/>
  <c r="AG46" i="44"/>
  <c r="AG44" i="44"/>
  <c r="AG62" i="44"/>
  <c r="AG59" i="44"/>
  <c r="P28" i="29" s="1"/>
  <c r="AG57" i="44"/>
  <c r="AG50" i="44"/>
  <c r="AG55" i="44"/>
  <c r="AI35" i="32"/>
  <c r="AI38" i="32" s="1"/>
  <c r="G66" i="32"/>
  <c r="G65" i="32"/>
  <c r="G64" i="32"/>
  <c r="G50" i="32"/>
  <c r="G67" i="32"/>
  <c r="G69" i="32"/>
  <c r="G68" i="32"/>
  <c r="G63" i="32"/>
  <c r="AA34" i="32"/>
  <c r="AA37" i="32" s="1"/>
  <c r="AA25" i="32"/>
  <c r="AA18" i="32" s="1"/>
  <c r="AH94" i="32"/>
  <c r="AG73" i="32"/>
  <c r="AG80" i="32" s="1"/>
  <c r="H63" i="32"/>
  <c r="AL63" i="32" s="1"/>
  <c r="H64" i="32"/>
  <c r="AL64" i="32" s="1"/>
  <c r="H68" i="32"/>
  <c r="AL68" i="32" s="1"/>
  <c r="H69" i="32"/>
  <c r="AL69" i="32" s="1"/>
  <c r="H65" i="32"/>
  <c r="AL65" i="32" s="1"/>
  <c r="H66" i="32"/>
  <c r="AL66" i="32" s="1"/>
  <c r="H67" i="32"/>
  <c r="AL67" i="32" s="1"/>
  <c r="H50" i="32"/>
  <c r="AL23" i="32"/>
  <c r="AE34" i="32"/>
  <c r="AE37" i="32" s="1"/>
  <c r="AE25" i="32"/>
  <c r="AE18" i="32" s="1"/>
  <c r="Y36" i="32"/>
  <c r="AL36" i="32"/>
  <c r="AJ36" i="32"/>
  <c r="AB88" i="53"/>
  <c r="AB77" i="53"/>
  <c r="AB87" i="53"/>
  <c r="AB76" i="53"/>
  <c r="AK36" i="32"/>
  <c r="T36" i="32"/>
  <c r="AE36" i="32"/>
  <c r="AK25" i="32"/>
  <c r="AK18" i="32" s="1"/>
  <c r="AK34" i="32"/>
  <c r="AK37" i="32" s="1"/>
  <c r="AF66" i="44"/>
  <c r="AM23" i="32" s="1"/>
  <c r="AM35" i="32" s="1"/>
  <c r="AM38" i="32" s="1"/>
  <c r="X36" i="32"/>
  <c r="AB34" i="32"/>
  <c r="AB37" i="32" s="1"/>
  <c r="G22" i="32"/>
  <c r="AB25" i="32"/>
  <c r="AB19" i="32" s="1"/>
  <c r="AD22" i="53"/>
  <c r="AD25" i="53" s="1"/>
  <c r="AE4" i="53"/>
  <c r="AD3" i="53"/>
  <c r="AD10" i="53" s="1"/>
  <c r="AD12" i="53" a="1"/>
  <c r="AD12" i="53" s="1"/>
  <c r="AD11" i="53" s="1"/>
  <c r="AD67" i="53"/>
  <c r="AD104" i="53" s="1"/>
  <c r="AD7" i="53"/>
  <c r="AD5" i="53"/>
  <c r="AD6" i="53"/>
  <c r="AG34" i="32"/>
  <c r="AG37" i="32" s="1"/>
  <c r="AG25" i="32"/>
  <c r="AG18" i="32" s="1"/>
  <c r="AJ34" i="32"/>
  <c r="AJ37" i="32" s="1"/>
  <c r="AJ25" i="32"/>
  <c r="AJ17" i="32" s="1"/>
  <c r="C247" i="48"/>
  <c r="D181" i="48"/>
  <c r="T38" i="32"/>
  <c r="AF60" i="44"/>
  <c r="Z36" i="32"/>
  <c r="D145" i="48"/>
  <c r="AD36" i="32"/>
  <c r="AB51" i="29"/>
  <c r="Y108" i="47" s="1"/>
  <c r="S51" i="29"/>
  <c r="P108" i="47" s="1"/>
  <c r="AJ35" i="32"/>
  <c r="AJ38" i="32" s="1"/>
  <c r="AC36" i="32"/>
  <c r="T34" i="32"/>
  <c r="T25" i="32"/>
  <c r="T18" i="32" s="1"/>
  <c r="AF64" i="44"/>
  <c r="AF67" i="44" s="1"/>
  <c r="AM24" i="32" s="1"/>
  <c r="AF65" i="44"/>
  <c r="AM22" i="32" s="1"/>
  <c r="X34" i="32"/>
  <c r="X37" i="32" s="1"/>
  <c r="X25" i="32"/>
  <c r="X18" i="32" s="1"/>
  <c r="AC8" i="53"/>
  <c r="Z69" i="48"/>
  <c r="X69" i="48"/>
  <c r="R69" i="48"/>
  <c r="W69" i="48"/>
  <c r="AA69" i="48"/>
  <c r="P69" i="48"/>
  <c r="O70" i="48"/>
  <c r="T69" i="48"/>
  <c r="Q69" i="48"/>
  <c r="S69" i="48"/>
  <c r="Y69" i="48"/>
  <c r="AG36" i="32"/>
  <c r="AC34" i="32"/>
  <c r="AC37" i="32" s="1"/>
  <c r="AC25" i="32"/>
  <c r="AC18" i="32" s="1"/>
  <c r="AB35" i="32"/>
  <c r="AB38" i="32" s="1"/>
  <c r="G23" i="32"/>
  <c r="G35" i="32" s="1"/>
  <c r="G38" i="32" s="1"/>
  <c r="Y34" i="32"/>
  <c r="Y37" i="32" s="1"/>
  <c r="Y25" i="32"/>
  <c r="Y18" i="32" s="1"/>
  <c r="AF34" i="32"/>
  <c r="AF37" i="32" s="1"/>
  <c r="AF25" i="32"/>
  <c r="AF18" i="32" s="1"/>
  <c r="Y25" i="35"/>
  <c r="U6" i="47"/>
  <c r="X26" i="35"/>
  <c r="T7" i="47"/>
  <c r="X24" i="35"/>
  <c r="T9" i="47"/>
  <c r="T5" i="47"/>
  <c r="X22" i="35"/>
  <c r="X23" i="35"/>
  <c r="T8" i="47"/>
  <c r="D106" i="48" l="1"/>
  <c r="B106" i="48"/>
  <c r="C106" i="48"/>
  <c r="M104" i="48"/>
  <c r="L104" i="48"/>
  <c r="O104" i="48"/>
  <c r="H104" i="48"/>
  <c r="F105" i="48"/>
  <c r="I105" i="48"/>
  <c r="G105" i="48"/>
  <c r="E105" i="48"/>
  <c r="K105" i="48" s="1"/>
  <c r="N103" i="48"/>
  <c r="O24" i="29"/>
  <c r="P18" i="29"/>
  <c r="P24" i="29" s="1"/>
  <c r="O16" i="29"/>
  <c r="O22" i="29" s="1"/>
  <c r="N22" i="29"/>
  <c r="O17" i="29"/>
  <c r="O23" i="29" s="1"/>
  <c r="H22" i="32"/>
  <c r="H34" i="32" s="1"/>
  <c r="H37" i="32" s="1"/>
  <c r="AI18" i="32"/>
  <c r="AG19" i="32"/>
  <c r="AB18" i="32"/>
  <c r="Z19" i="32"/>
  <c r="Y17" i="32"/>
  <c r="AE19" i="32"/>
  <c r="AG17" i="32"/>
  <c r="AK17" i="32"/>
  <c r="AK19" i="32"/>
  <c r="AH19" i="32"/>
  <c r="T17" i="32"/>
  <c r="AC17" i="32"/>
  <c r="AJ18" i="32"/>
  <c r="AE17" i="32"/>
  <c r="AA17" i="32"/>
  <c r="AB17" i="32"/>
  <c r="AH17" i="32"/>
  <c r="P36" i="29"/>
  <c r="AN51" i="29" s="1"/>
  <c r="AO51" i="29" s="1"/>
  <c r="AC51" i="29"/>
  <c r="AD8" i="53"/>
  <c r="G34" i="32"/>
  <c r="G37" i="32" s="1"/>
  <c r="G25" i="32"/>
  <c r="G31" i="32" s="1"/>
  <c r="T19" i="32"/>
  <c r="S63" i="32"/>
  <c r="T63" i="32" s="1"/>
  <c r="U63" i="32" s="1"/>
  <c r="V63" i="32" s="1"/>
  <c r="W63" i="32" s="1"/>
  <c r="X63" i="32" s="1"/>
  <c r="Y63" i="32" s="1"/>
  <c r="Z63" i="32" s="1"/>
  <c r="AA63" i="32" s="1"/>
  <c r="AB63" i="32"/>
  <c r="AC63" i="32" s="1"/>
  <c r="AD63" i="32" s="1"/>
  <c r="AE63" i="32" s="1"/>
  <c r="AF63" i="32" s="1"/>
  <c r="AG63" i="32" s="1"/>
  <c r="AH63" i="32" s="1"/>
  <c r="AI63" i="32" s="1"/>
  <c r="AJ63" i="32" s="1"/>
  <c r="AK63" i="32" s="1"/>
  <c r="AB66" i="32"/>
  <c r="AC66" i="32" s="1"/>
  <c r="AD66" i="32" s="1"/>
  <c r="AE66" i="32" s="1"/>
  <c r="AF66" i="32" s="1"/>
  <c r="AG66" i="32" s="1"/>
  <c r="AH66" i="32" s="1"/>
  <c r="AI66" i="32" s="1"/>
  <c r="AJ66" i="32" s="1"/>
  <c r="AK66" i="32" s="1"/>
  <c r="S66" i="32"/>
  <c r="T66" i="32" s="1"/>
  <c r="U66" i="32" s="1"/>
  <c r="V66" i="32" s="1"/>
  <c r="W66" i="32" s="1"/>
  <c r="X66" i="32" s="1"/>
  <c r="Y66" i="32" s="1"/>
  <c r="Z66" i="32" s="1"/>
  <c r="AA66" i="32" s="1"/>
  <c r="AD17" i="32"/>
  <c r="AM34" i="32"/>
  <c r="AM37" i="32" s="1"/>
  <c r="AM25" i="32"/>
  <c r="AM18" i="32" s="1"/>
  <c r="S69" i="32"/>
  <c r="T69" i="32" s="1"/>
  <c r="U69" i="32" s="1"/>
  <c r="V69" i="32" s="1"/>
  <c r="W69" i="32" s="1"/>
  <c r="X69" i="32" s="1"/>
  <c r="Y69" i="32" s="1"/>
  <c r="Z69" i="32" s="1"/>
  <c r="AA69" i="32" s="1"/>
  <c r="AB69" i="32"/>
  <c r="AC69" i="32" s="1"/>
  <c r="AD69" i="32" s="1"/>
  <c r="AE69" i="32" s="1"/>
  <c r="AF69" i="32" s="1"/>
  <c r="AG69" i="32" s="1"/>
  <c r="AH69" i="32" s="1"/>
  <c r="AI69" i="32" s="1"/>
  <c r="AJ69" i="32" s="1"/>
  <c r="AK69" i="32" s="1"/>
  <c r="AG69" i="44"/>
  <c r="AN45" i="32"/>
  <c r="I45" i="32" s="1"/>
  <c r="AM36" i="32"/>
  <c r="Y19" i="32"/>
  <c r="AG66" i="44"/>
  <c r="AF19" i="32"/>
  <c r="Z17" i="32"/>
  <c r="AL35" i="32"/>
  <c r="AL38" i="32" s="1"/>
  <c r="H23" i="32"/>
  <c r="H35" i="32" s="1"/>
  <c r="H38" i="32" s="1"/>
  <c r="S67" i="32"/>
  <c r="T67" i="32" s="1"/>
  <c r="U67" i="32" s="1"/>
  <c r="V67" i="32" s="1"/>
  <c r="W67" i="32" s="1"/>
  <c r="X67" i="32" s="1"/>
  <c r="Y67" i="32" s="1"/>
  <c r="Z67" i="32" s="1"/>
  <c r="AA67" i="32" s="1"/>
  <c r="AB67" i="32"/>
  <c r="AC67" i="32" s="1"/>
  <c r="AD67" i="32" s="1"/>
  <c r="AE67" i="32" s="1"/>
  <c r="AF67" i="32" s="1"/>
  <c r="AG67" i="32" s="1"/>
  <c r="AH67" i="32" s="1"/>
  <c r="AI67" i="32" s="1"/>
  <c r="AJ67" i="32" s="1"/>
  <c r="AK67" i="32" s="1"/>
  <c r="D252" i="48"/>
  <c r="AB68" i="32"/>
  <c r="AC68" i="32" s="1"/>
  <c r="AD68" i="32" s="1"/>
  <c r="AE68" i="32" s="1"/>
  <c r="AF68" i="32" s="1"/>
  <c r="AG68" i="32" s="1"/>
  <c r="AH68" i="32" s="1"/>
  <c r="AI68" i="32" s="1"/>
  <c r="AJ68" i="32" s="1"/>
  <c r="AK68" i="32" s="1"/>
  <c r="S68" i="32"/>
  <c r="T68" i="32" s="1"/>
  <c r="U68" i="32" s="1"/>
  <c r="V68" i="32" s="1"/>
  <c r="W68" i="32" s="1"/>
  <c r="X68" i="32" s="1"/>
  <c r="Y68" i="32" s="1"/>
  <c r="Z68" i="32" s="1"/>
  <c r="AA68" i="32" s="1"/>
  <c r="AF17" i="32"/>
  <c r="R70" i="48"/>
  <c r="AA70" i="48"/>
  <c r="Y70" i="48"/>
  <c r="Q70" i="48"/>
  <c r="T70" i="48"/>
  <c r="X70" i="48"/>
  <c r="P70" i="48"/>
  <c r="Z70" i="48"/>
  <c r="S70" i="48"/>
  <c r="O71" i="48"/>
  <c r="W70" i="48"/>
  <c r="AD19" i="32"/>
  <c r="AE12" i="53" a="1"/>
  <c r="AE12" i="53" s="1"/>
  <c r="AE11" i="53" s="1"/>
  <c r="AE5" i="53"/>
  <c r="AE3" i="53"/>
  <c r="AE10" i="53" s="1"/>
  <c r="AE67" i="53"/>
  <c r="AE104" i="53" s="1"/>
  <c r="AF4" i="53"/>
  <c r="AE7" i="53"/>
  <c r="AE6" i="53"/>
  <c r="AE22" i="53"/>
  <c r="AE25" i="53" s="1"/>
  <c r="AH73" i="32"/>
  <c r="AH80" i="32" s="1"/>
  <c r="AI94" i="32"/>
  <c r="AG64" i="44"/>
  <c r="AG67" i="44" s="1"/>
  <c r="AG65" i="44"/>
  <c r="AA19" i="32"/>
  <c r="D146" i="48"/>
  <c r="AC88" i="53"/>
  <c r="AC87" i="53"/>
  <c r="AC77" i="53"/>
  <c r="AC76" i="53"/>
  <c r="T37" i="32"/>
  <c r="D182" i="48"/>
  <c r="X19" i="32"/>
  <c r="AB64" i="32"/>
  <c r="AC64" i="32" s="1"/>
  <c r="AD64" i="32" s="1"/>
  <c r="AE64" i="32" s="1"/>
  <c r="AF64" i="32" s="1"/>
  <c r="AG64" i="32" s="1"/>
  <c r="AH64" i="32" s="1"/>
  <c r="AI64" i="32" s="1"/>
  <c r="AJ64" i="32" s="1"/>
  <c r="AK64" i="32" s="1"/>
  <c r="S64" i="32"/>
  <c r="T64" i="32" s="1"/>
  <c r="U64" i="32" s="1"/>
  <c r="V64" i="32" s="1"/>
  <c r="W64" i="32" s="1"/>
  <c r="X64" i="32" s="1"/>
  <c r="Y64" i="32" s="1"/>
  <c r="Z64" i="32" s="1"/>
  <c r="AA64" i="32" s="1"/>
  <c r="AG60" i="44"/>
  <c r="AI17" i="32"/>
  <c r="X17" i="32"/>
  <c r="AC19" i="32"/>
  <c r="T51" i="29"/>
  <c r="C248" i="48"/>
  <c r="AJ19" i="32"/>
  <c r="AB65" i="32"/>
  <c r="AC65" i="32" s="1"/>
  <c r="AD65" i="32" s="1"/>
  <c r="AE65" i="32" s="1"/>
  <c r="AF65" i="32" s="1"/>
  <c r="AG65" i="32" s="1"/>
  <c r="AH65" i="32" s="1"/>
  <c r="AI65" i="32" s="1"/>
  <c r="AJ65" i="32" s="1"/>
  <c r="AK65" i="32" s="1"/>
  <c r="S65" i="32"/>
  <c r="T65" i="32" s="1"/>
  <c r="U65" i="32" s="1"/>
  <c r="V65" i="32" s="1"/>
  <c r="W65" i="32" s="1"/>
  <c r="X65" i="32" s="1"/>
  <c r="Y65" i="32" s="1"/>
  <c r="Z65" i="32" s="1"/>
  <c r="AA65" i="32" s="1"/>
  <c r="AL25" i="32"/>
  <c r="Y26" i="35"/>
  <c r="U7" i="47"/>
  <c r="U5" i="47"/>
  <c r="Y22" i="35"/>
  <c r="Y23" i="35"/>
  <c r="U8" i="47"/>
  <c r="Z25" i="35"/>
  <c r="V6" i="47"/>
  <c r="Y24" i="35"/>
  <c r="U9" i="47"/>
  <c r="AE8" i="53" l="1"/>
  <c r="L105" i="48"/>
  <c r="M105" i="48"/>
  <c r="O105" i="48"/>
  <c r="N104" i="48"/>
  <c r="H105" i="48"/>
  <c r="G106" i="48"/>
  <c r="E106" i="48"/>
  <c r="K106" i="48" s="1"/>
  <c r="F106" i="48"/>
  <c r="H106" i="48" s="1"/>
  <c r="I106" i="48"/>
  <c r="C107" i="48"/>
  <c r="B107" i="48"/>
  <c r="D107" i="48"/>
  <c r="AN50" i="29"/>
  <c r="AL50" i="29"/>
  <c r="AC50" i="29"/>
  <c r="P16" i="29"/>
  <c r="P22" i="29" s="1"/>
  <c r="AN49" i="29"/>
  <c r="P17" i="29"/>
  <c r="P23" i="29" s="1"/>
  <c r="AC49" i="29"/>
  <c r="AL49" i="29"/>
  <c r="AI85" i="47" s="1"/>
  <c r="AM51" i="29"/>
  <c r="AK108" i="47"/>
  <c r="H25" i="32"/>
  <c r="H31" i="32" s="1"/>
  <c r="D253" i="48"/>
  <c r="I50" i="32"/>
  <c r="I65" i="32"/>
  <c r="I63" i="32"/>
  <c r="I46" i="32"/>
  <c r="H46" i="32" s="1"/>
  <c r="I66" i="32"/>
  <c r="I69" i="32"/>
  <c r="I68" i="32"/>
  <c r="I67" i="32"/>
  <c r="I64" i="32"/>
  <c r="AN22" i="32"/>
  <c r="AB48" i="29"/>
  <c r="Y84" i="47" s="1"/>
  <c r="S48" i="29"/>
  <c r="P84" i="47" s="1"/>
  <c r="AN23" i="32"/>
  <c r="AM17" i="32"/>
  <c r="AL18" i="32"/>
  <c r="AL17" i="32"/>
  <c r="AL19" i="32"/>
  <c r="AN24" i="32"/>
  <c r="AP51" i="29"/>
  <c r="AM19" i="32"/>
  <c r="AD76" i="53"/>
  <c r="AE76" i="53" s="1"/>
  <c r="D147" i="48"/>
  <c r="AJ94" i="32"/>
  <c r="AI73" i="32"/>
  <c r="AI80" i="32" s="1"/>
  <c r="C249" i="48"/>
  <c r="D183" i="48"/>
  <c r="AD77" i="53"/>
  <c r="AE77" i="53" s="1"/>
  <c r="Z108" i="47"/>
  <c r="AD51" i="29"/>
  <c r="AA71" i="48"/>
  <c r="Q71" i="48"/>
  <c r="P71" i="48"/>
  <c r="Y71" i="48"/>
  <c r="T71" i="48"/>
  <c r="O72" i="48"/>
  <c r="X71" i="48"/>
  <c r="Z71" i="48"/>
  <c r="S71" i="48"/>
  <c r="W71" i="48"/>
  <c r="R71" i="48"/>
  <c r="Q108" i="47"/>
  <c r="U51" i="29"/>
  <c r="AD87" i="53"/>
  <c r="AE87" i="53" s="1"/>
  <c r="AF3" i="53"/>
  <c r="AF10" i="53" s="1"/>
  <c r="AF22" i="53"/>
  <c r="AF25" i="53" s="1"/>
  <c r="AF7" i="53"/>
  <c r="AF67" i="53"/>
  <c r="AF104" i="53" s="1"/>
  <c r="AF12" i="53" a="1"/>
  <c r="AF12" i="53" s="1"/>
  <c r="AF11" i="53" s="1"/>
  <c r="AF6" i="53"/>
  <c r="AF5" i="53"/>
  <c r="AG4" i="53"/>
  <c r="AD88" i="53"/>
  <c r="AE88" i="53" s="1"/>
  <c r="Z23" i="35"/>
  <c r="V8" i="47"/>
  <c r="V5" i="47"/>
  <c r="Z22" i="35"/>
  <c r="V7" i="47"/>
  <c r="Z26" i="35"/>
  <c r="Z24" i="35"/>
  <c r="V9" i="47"/>
  <c r="W6" i="47"/>
  <c r="AA25" i="35"/>
  <c r="AI86" i="47" l="1"/>
  <c r="AI108" i="47"/>
  <c r="AD49" i="29"/>
  <c r="Z85" i="47"/>
  <c r="AO49" i="29"/>
  <c r="AK85" i="47"/>
  <c r="B108" i="48"/>
  <c r="D108" i="48"/>
  <c r="C108" i="48"/>
  <c r="G107" i="48"/>
  <c r="I107" i="48"/>
  <c r="F107" i="48"/>
  <c r="H107" i="48" s="1"/>
  <c r="E107" i="48"/>
  <c r="K107" i="48" s="1"/>
  <c r="N105" i="48"/>
  <c r="M106" i="48"/>
  <c r="O106" i="48"/>
  <c r="L106" i="48"/>
  <c r="AD50" i="29"/>
  <c r="Z86" i="47"/>
  <c r="AO50" i="29"/>
  <c r="AL108" i="47" s="1"/>
  <c r="AK86" i="47"/>
  <c r="AM50" i="29"/>
  <c r="AM49" i="29"/>
  <c r="AJ85" i="47" s="1"/>
  <c r="AN48" i="29"/>
  <c r="AO48" i="29" s="1"/>
  <c r="R108" i="47"/>
  <c r="V51" i="29"/>
  <c r="AA72" i="48"/>
  <c r="X72" i="48"/>
  <c r="Y72" i="48"/>
  <c r="W72" i="48"/>
  <c r="Q72" i="48"/>
  <c r="R72" i="48"/>
  <c r="Z72" i="48"/>
  <c r="P72" i="48"/>
  <c r="S72" i="48"/>
  <c r="T72" i="48"/>
  <c r="O73" i="48"/>
  <c r="AN66" i="32"/>
  <c r="AO66" i="32" s="1"/>
  <c r="AP66" i="32" s="1"/>
  <c r="AM66" i="32"/>
  <c r="D184" i="48"/>
  <c r="AN63" i="32"/>
  <c r="AO63" i="32" s="1"/>
  <c r="AP63" i="32" s="1"/>
  <c r="AM63" i="32"/>
  <c r="AF8" i="53"/>
  <c r="AO23" i="32"/>
  <c r="I23" i="32"/>
  <c r="I35" i="32" s="1"/>
  <c r="I38" i="32" s="1"/>
  <c r="AN35" i="32"/>
  <c r="AN38" i="32" s="1"/>
  <c r="AN65" i="32"/>
  <c r="AO65" i="32" s="1"/>
  <c r="AP65" i="32" s="1"/>
  <c r="AM65" i="32"/>
  <c r="AN36" i="32"/>
  <c r="I24" i="32"/>
  <c r="I36" i="32" s="1"/>
  <c r="AO24" i="32"/>
  <c r="AN64" i="32"/>
  <c r="AO64" i="32" s="1"/>
  <c r="AP64" i="32" s="1"/>
  <c r="AM64" i="32"/>
  <c r="AF77" i="53"/>
  <c r="AC48" i="29"/>
  <c r="Z84" i="47" s="1"/>
  <c r="AL48" i="29"/>
  <c r="AM67" i="32"/>
  <c r="AN67" i="32"/>
  <c r="AO67" i="32" s="1"/>
  <c r="AP67" i="32" s="1"/>
  <c r="AF88" i="53"/>
  <c r="AN34" i="32"/>
  <c r="AN37" i="32" s="1"/>
  <c r="AN25" i="32"/>
  <c r="AN19" i="32" s="1"/>
  <c r="I22" i="32"/>
  <c r="AO22" i="32"/>
  <c r="AG12" i="53" a="1"/>
  <c r="AG12" i="53" s="1"/>
  <c r="AG11" i="53" s="1"/>
  <c r="AG3" i="53"/>
  <c r="AG10" i="53" s="1"/>
  <c r="AG67" i="53"/>
  <c r="AG104" i="53" s="1"/>
  <c r="AG5" i="53"/>
  <c r="AH4" i="53"/>
  <c r="AG7" i="53"/>
  <c r="AG22" i="53"/>
  <c r="AG25" i="53" s="1"/>
  <c r="AG6" i="53"/>
  <c r="C250" i="48"/>
  <c r="D148" i="48"/>
  <c r="T48" i="29"/>
  <c r="AM68" i="32"/>
  <c r="AN68" i="32"/>
  <c r="AO68" i="32" s="1"/>
  <c r="AP68" i="32" s="1"/>
  <c r="AK94" i="32"/>
  <c r="AJ73" i="32"/>
  <c r="AJ80" i="32" s="1"/>
  <c r="AF87" i="53"/>
  <c r="AA108" i="47"/>
  <c r="AE51" i="29"/>
  <c r="AF76" i="53"/>
  <c r="AM69" i="32"/>
  <c r="AN69" i="32"/>
  <c r="AO69" i="32" s="1"/>
  <c r="AP69" i="32" s="1"/>
  <c r="AA24" i="35"/>
  <c r="W9" i="47"/>
  <c r="AA22" i="35"/>
  <c r="W5" i="47"/>
  <c r="AA23" i="35"/>
  <c r="W8" i="47"/>
  <c r="AB25" i="35"/>
  <c r="X6" i="47"/>
  <c r="AA26" i="35"/>
  <c r="W7" i="47"/>
  <c r="AJ86" i="47" l="1"/>
  <c r="AJ108" i="47"/>
  <c r="AK84" i="47"/>
  <c r="AP49" i="29"/>
  <c r="AM85" i="47" s="1"/>
  <c r="AL85" i="47"/>
  <c r="AE49" i="29"/>
  <c r="AA85" i="47"/>
  <c r="O107" i="48"/>
  <c r="L107" i="48"/>
  <c r="N107" i="48" s="1"/>
  <c r="M107" i="48"/>
  <c r="E108" i="48"/>
  <c r="K108" i="48" s="1"/>
  <c r="F108" i="48"/>
  <c r="H108" i="48" s="1"/>
  <c r="I108" i="48"/>
  <c r="G108" i="48"/>
  <c r="N106" i="48"/>
  <c r="B109" i="48"/>
  <c r="C109" i="48"/>
  <c r="D109" i="48"/>
  <c r="AP50" i="29"/>
  <c r="AL86" i="47"/>
  <c r="AE50" i="29"/>
  <c r="AA86" i="47"/>
  <c r="AN17" i="32"/>
  <c r="AB108" i="47"/>
  <c r="AF51" i="29"/>
  <c r="D149" i="48"/>
  <c r="AH6" i="53"/>
  <c r="AH22" i="53"/>
  <c r="AH25" i="53" s="1"/>
  <c r="AH67" i="53"/>
  <c r="AH104" i="53" s="1"/>
  <c r="AI4" i="53"/>
  <c r="AH3" i="53"/>
  <c r="AH10" i="53" s="1"/>
  <c r="AH5" i="53"/>
  <c r="AH12" i="53" a="1"/>
  <c r="AH12" i="53" s="1"/>
  <c r="AH11" i="53" s="1"/>
  <c r="AH7" i="53"/>
  <c r="AD48" i="29"/>
  <c r="Q84" i="47"/>
  <c r="U48" i="29"/>
  <c r="C251" i="48"/>
  <c r="AG8" i="53"/>
  <c r="AM48" i="29"/>
  <c r="AJ84" i="47" s="1"/>
  <c r="AI84" i="47"/>
  <c r="AO36" i="32"/>
  <c r="AP24" i="32"/>
  <c r="AP36" i="32" s="1"/>
  <c r="AN18" i="32"/>
  <c r="D185" i="48"/>
  <c r="AO25" i="32"/>
  <c r="AO19" i="32" s="1"/>
  <c r="AO34" i="32"/>
  <c r="AO37" i="32" s="1"/>
  <c r="AP22" i="32"/>
  <c r="AG77" i="53"/>
  <c r="AP48" i="29"/>
  <c r="AM84" i="47" s="1"/>
  <c r="AL84" i="47"/>
  <c r="I34" i="32"/>
  <c r="I37" i="32" s="1"/>
  <c r="I25" i="32"/>
  <c r="I31" i="32" s="1"/>
  <c r="AO35" i="32"/>
  <c r="AO38" i="32" s="1"/>
  <c r="AP23" i="32"/>
  <c r="S108" i="47"/>
  <c r="W51" i="29"/>
  <c r="AK73" i="32"/>
  <c r="AK80" i="32" s="1"/>
  <c r="AL94" i="32"/>
  <c r="AG76" i="53"/>
  <c r="O74" i="48"/>
  <c r="P73" i="48"/>
  <c r="T73" i="48"/>
  <c r="Y73" i="48"/>
  <c r="W73" i="48"/>
  <c r="R73" i="48"/>
  <c r="Q73" i="48"/>
  <c r="S73" i="48"/>
  <c r="X73" i="48"/>
  <c r="Z73" i="48"/>
  <c r="AA73" i="48"/>
  <c r="AB23" i="35"/>
  <c r="X8" i="47"/>
  <c r="AB26" i="35"/>
  <c r="X7" i="47"/>
  <c r="AC25" i="35"/>
  <c r="Y6" i="47"/>
  <c r="AB22" i="35"/>
  <c r="X5" i="47"/>
  <c r="X9" i="47"/>
  <c r="AB24" i="35"/>
  <c r="AM86" i="47" l="1"/>
  <c r="AM108" i="47"/>
  <c r="AF49" i="29"/>
  <c r="AB85" i="47"/>
  <c r="L108" i="48"/>
  <c r="N108" i="48" s="1"/>
  <c r="O108" i="48"/>
  <c r="M108" i="48"/>
  <c r="B110" i="48"/>
  <c r="D110" i="48"/>
  <c r="C110" i="48"/>
  <c r="F109" i="48"/>
  <c r="G109" i="48"/>
  <c r="E109" i="48"/>
  <c r="K109" i="48" s="1"/>
  <c r="I109" i="48"/>
  <c r="AF50" i="29"/>
  <c r="AB86" i="47"/>
  <c r="AO17" i="32"/>
  <c r="AG88" i="53"/>
  <c r="D150" i="48"/>
  <c r="AO18" i="32"/>
  <c r="AG87" i="53"/>
  <c r="W74" i="48"/>
  <c r="Q74" i="48"/>
  <c r="S74" i="48"/>
  <c r="Z74" i="48"/>
  <c r="Y74" i="48"/>
  <c r="P74" i="48"/>
  <c r="AA74" i="48"/>
  <c r="T74" i="48"/>
  <c r="R74" i="48"/>
  <c r="X74" i="48"/>
  <c r="O75" i="48"/>
  <c r="AP35" i="32"/>
  <c r="AP38" i="32" s="1"/>
  <c r="AA84" i="47"/>
  <c r="AE48" i="29"/>
  <c r="AH8" i="53"/>
  <c r="AM94" i="32"/>
  <c r="AL73" i="32"/>
  <c r="AL80" i="32" s="1"/>
  <c r="C186" i="48"/>
  <c r="C252" i="48"/>
  <c r="R84" i="47"/>
  <c r="V48" i="29"/>
  <c r="AJ4" i="53"/>
  <c r="AI5" i="53"/>
  <c r="AI67" i="53"/>
  <c r="AI104" i="53" s="1"/>
  <c r="AI3" i="53"/>
  <c r="AI10" i="53" s="1"/>
  <c r="AI12" i="53" a="1"/>
  <c r="AI12" i="53" s="1"/>
  <c r="AI11" i="53" s="1"/>
  <c r="AI22" i="53"/>
  <c r="AI25" i="53" s="1"/>
  <c r="AI7" i="53"/>
  <c r="AI6" i="53"/>
  <c r="AP34" i="32"/>
  <c r="AP37" i="32" s="1"/>
  <c r="AP25" i="32"/>
  <c r="AP19" i="32" s="1"/>
  <c r="T108" i="47"/>
  <c r="X51" i="29"/>
  <c r="AC108" i="47"/>
  <c r="AG51" i="29"/>
  <c r="Y9" i="47"/>
  <c r="AC24" i="35"/>
  <c r="AC26" i="35"/>
  <c r="Y7" i="47"/>
  <c r="AD25" i="35"/>
  <c r="Z6" i="47"/>
  <c r="Y5" i="47"/>
  <c r="AC22" i="35"/>
  <c r="AC23" i="35"/>
  <c r="Y8" i="47"/>
  <c r="AG49" i="29" l="1"/>
  <c r="AC85" i="47"/>
  <c r="L109" i="48"/>
  <c r="M109" i="48"/>
  <c r="O109" i="48"/>
  <c r="E110" i="48"/>
  <c r="K110" i="48" s="1"/>
  <c r="I110" i="48"/>
  <c r="G110" i="48"/>
  <c r="F110" i="48"/>
  <c r="H110" i="48" s="1"/>
  <c r="D111" i="48"/>
  <c r="B111" i="48"/>
  <c r="C111" i="48"/>
  <c r="H109" i="48"/>
  <c r="AG50" i="29"/>
  <c r="AC86" i="47"/>
  <c r="AP17" i="32"/>
  <c r="Y75" i="48"/>
  <c r="X75" i="48"/>
  <c r="O76" i="48"/>
  <c r="Z75" i="48"/>
  <c r="R75" i="48"/>
  <c r="W75" i="48"/>
  <c r="T75" i="48"/>
  <c r="S75" i="48"/>
  <c r="AA75" i="48"/>
  <c r="P75" i="48"/>
  <c r="Q75" i="48"/>
  <c r="AH87" i="53"/>
  <c r="AI8" i="53"/>
  <c r="S84" i="47"/>
  <c r="W48" i="29"/>
  <c r="AH76" i="53"/>
  <c r="AI76" i="53" s="1"/>
  <c r="AJ3" i="53"/>
  <c r="AJ10" i="53" s="1"/>
  <c r="AJ22" i="53"/>
  <c r="AJ25" i="53" s="1"/>
  <c r="AJ67" i="53"/>
  <c r="AJ104" i="53" s="1"/>
  <c r="AJ6" i="53"/>
  <c r="AJ5" i="53"/>
  <c r="AK4" i="53"/>
  <c r="AJ7" i="53"/>
  <c r="AJ12" i="53" a="1"/>
  <c r="AJ12" i="53" s="1"/>
  <c r="AJ11" i="53" s="1"/>
  <c r="C187" i="48"/>
  <c r="AP18" i="32"/>
  <c r="AH77" i="53"/>
  <c r="AI77" i="53" s="1"/>
  <c r="AD108" i="47"/>
  <c r="AH51" i="29"/>
  <c r="U108" i="47"/>
  <c r="Y51" i="29"/>
  <c r="C253" i="48"/>
  <c r="AN94" i="32"/>
  <c r="AM73" i="32"/>
  <c r="AM80" i="32" s="1"/>
  <c r="AB84" i="47"/>
  <c r="AF48" i="29"/>
  <c r="AH88" i="53"/>
  <c r="AI88" i="53" s="1"/>
  <c r="D151" i="48"/>
  <c r="AD26" i="35"/>
  <c r="Z7" i="47"/>
  <c r="AD23" i="35"/>
  <c r="Z8" i="47"/>
  <c r="AE25" i="35"/>
  <c r="AA6" i="47"/>
  <c r="Z5" i="47"/>
  <c r="AD22" i="35"/>
  <c r="AD24" i="35"/>
  <c r="Z9" i="47"/>
  <c r="AJ8" i="53" l="1"/>
  <c r="AH49" i="29"/>
  <c r="AD85" i="47"/>
  <c r="L110" i="48"/>
  <c r="N110" i="48" s="1"/>
  <c r="M110" i="48"/>
  <c r="O110" i="48"/>
  <c r="F111" i="48"/>
  <c r="I111" i="48"/>
  <c r="G111" i="48"/>
  <c r="E111" i="48"/>
  <c r="K111" i="48" s="1"/>
  <c r="N109" i="48"/>
  <c r="B112" i="48"/>
  <c r="C112" i="48"/>
  <c r="D112" i="48"/>
  <c r="AH50" i="29"/>
  <c r="AD86" i="47"/>
  <c r="AJ88" i="53"/>
  <c r="V108" i="47"/>
  <c r="Z51" i="29"/>
  <c r="AC84" i="47"/>
  <c r="AG48" i="29"/>
  <c r="R76" i="48"/>
  <c r="AA76" i="48"/>
  <c r="P76" i="48"/>
  <c r="Q76" i="48"/>
  <c r="S76" i="48"/>
  <c r="W76" i="48"/>
  <c r="X76" i="48"/>
  <c r="Z76" i="48"/>
  <c r="T76" i="48"/>
  <c r="O77" i="48"/>
  <c r="Y76" i="48"/>
  <c r="T84" i="47"/>
  <c r="X48" i="29"/>
  <c r="AE108" i="47"/>
  <c r="AI51" i="29"/>
  <c r="C188" i="48"/>
  <c r="AJ76" i="53"/>
  <c r="C152" i="48"/>
  <c r="AO94" i="32"/>
  <c r="AN73" i="32"/>
  <c r="AN80" i="32" s="1"/>
  <c r="AJ77" i="53"/>
  <c r="AL4" i="53"/>
  <c r="AK3" i="53"/>
  <c r="AK10" i="53" s="1"/>
  <c r="AK6" i="53"/>
  <c r="AK7" i="53"/>
  <c r="AK5" i="53"/>
  <c r="AK12" i="53" a="1"/>
  <c r="AK12" i="53" s="1"/>
  <c r="AK11" i="53" s="1"/>
  <c r="AK67" i="53"/>
  <c r="AK104" i="53" s="1"/>
  <c r="AK22" i="53"/>
  <c r="AK25" i="53" s="1"/>
  <c r="AI87" i="53"/>
  <c r="AJ87" i="53" s="1"/>
  <c r="AE23" i="35"/>
  <c r="AA8" i="47"/>
  <c r="AE26" i="35"/>
  <c r="AA7" i="47"/>
  <c r="AF25" i="35"/>
  <c r="AB6" i="47"/>
  <c r="AE24" i="35"/>
  <c r="AA9" i="47"/>
  <c r="AE22" i="35"/>
  <c r="AA5" i="47"/>
  <c r="AI49" i="29" l="1"/>
  <c r="AE85" i="47"/>
  <c r="H111" i="48"/>
  <c r="D113" i="48"/>
  <c r="B113" i="48"/>
  <c r="C113" i="48"/>
  <c r="F112" i="48"/>
  <c r="G112" i="48"/>
  <c r="I112" i="48"/>
  <c r="E112" i="48"/>
  <c r="K112" i="48" s="1"/>
  <c r="L111" i="48"/>
  <c r="N111" i="48" s="1"/>
  <c r="O111" i="48"/>
  <c r="M111" i="48"/>
  <c r="AI50" i="29"/>
  <c r="AE86" i="47"/>
  <c r="AF108" i="47"/>
  <c r="AJ51" i="29"/>
  <c r="W108" i="47"/>
  <c r="AA51" i="29"/>
  <c r="X108" i="47" s="1"/>
  <c r="AK8" i="53"/>
  <c r="AK76" i="53" s="1"/>
  <c r="AP94" i="32"/>
  <c r="AP73" i="32" s="1"/>
  <c r="AP80" i="32" s="1"/>
  <c r="AO73" i="32"/>
  <c r="AO80" i="32" s="1"/>
  <c r="U84" i="47"/>
  <c r="Y48" i="29"/>
  <c r="AD84" i="47"/>
  <c r="AH48" i="29"/>
  <c r="C189" i="48"/>
  <c r="AM4" i="53"/>
  <c r="AL3" i="53"/>
  <c r="AL10" i="53" s="1"/>
  <c r="AL7" i="53"/>
  <c r="AL6" i="53"/>
  <c r="AL12" i="53" a="1"/>
  <c r="AL12" i="53" s="1"/>
  <c r="AL11" i="53" s="1"/>
  <c r="AL5" i="53"/>
  <c r="AL22" i="53"/>
  <c r="AL25" i="53" s="1"/>
  <c r="AL67" i="53"/>
  <c r="AL104" i="53" s="1"/>
  <c r="C153" i="48"/>
  <c r="Z77" i="48"/>
  <c r="S77" i="48"/>
  <c r="T77" i="48"/>
  <c r="R77" i="48"/>
  <c r="Y77" i="48"/>
  <c r="W77" i="48"/>
  <c r="O78" i="48"/>
  <c r="Q77" i="48"/>
  <c r="P77" i="48"/>
  <c r="X77" i="48"/>
  <c r="AA77" i="48"/>
  <c r="AB5" i="47"/>
  <c r="AF22" i="35"/>
  <c r="AG25" i="35"/>
  <c r="AC6" i="47"/>
  <c r="AB8" i="47"/>
  <c r="AF23" i="35"/>
  <c r="AB7" i="47"/>
  <c r="AF26" i="35"/>
  <c r="AF24" i="35"/>
  <c r="AB9" i="47"/>
  <c r="AJ49" i="29" l="1"/>
  <c r="AF85" i="47"/>
  <c r="O112" i="48"/>
  <c r="L112" i="48"/>
  <c r="N112" i="48" s="1"/>
  <c r="M112" i="48"/>
  <c r="H112" i="48"/>
  <c r="E113" i="48"/>
  <c r="K113" i="48" s="1"/>
  <c r="I113" i="48"/>
  <c r="G113" i="48"/>
  <c r="F113" i="48"/>
  <c r="C114" i="48"/>
  <c r="D114" i="48"/>
  <c r="B114" i="48"/>
  <c r="AL8" i="53"/>
  <c r="AL76" i="53" s="1"/>
  <c r="AJ50" i="29"/>
  <c r="AF86" i="47"/>
  <c r="Z78" i="48"/>
  <c r="O79" i="48"/>
  <c r="Y78" i="48"/>
  <c r="X78" i="48"/>
  <c r="P78" i="48"/>
  <c r="AA78" i="48"/>
  <c r="W78" i="48"/>
  <c r="T78" i="48"/>
  <c r="Q78" i="48"/>
  <c r="R78" i="48"/>
  <c r="S78" i="48"/>
  <c r="AE84" i="47"/>
  <c r="AI48" i="29"/>
  <c r="AK77" i="53"/>
  <c r="C154" i="48"/>
  <c r="C190" i="48"/>
  <c r="AK87" i="53"/>
  <c r="AG108" i="47"/>
  <c r="AK51" i="29"/>
  <c r="AM7" i="53"/>
  <c r="AM22" i="53"/>
  <c r="AM25" i="53" s="1"/>
  <c r="AN4" i="53"/>
  <c r="AM67" i="53"/>
  <c r="AM104" i="53" s="1"/>
  <c r="AM5" i="53"/>
  <c r="AM3" i="53"/>
  <c r="AM6" i="53"/>
  <c r="AM12" i="53" a="1"/>
  <c r="AM12" i="53" s="1"/>
  <c r="AM11" i="53" s="1"/>
  <c r="AK88" i="53"/>
  <c r="V84" i="47"/>
  <c r="Z48" i="29"/>
  <c r="AC8" i="47"/>
  <c r="AG23" i="35"/>
  <c r="AC9" i="47"/>
  <c r="AG24" i="35"/>
  <c r="AH25" i="35"/>
  <c r="AD6" i="47"/>
  <c r="AG26" i="35"/>
  <c r="AC7" i="47"/>
  <c r="AG22" i="35"/>
  <c r="AC5" i="47"/>
  <c r="AK49" i="29" l="1"/>
  <c r="AH85" i="47" s="1"/>
  <c r="AG85" i="47"/>
  <c r="AL77" i="53"/>
  <c r="B115" i="48"/>
  <c r="C115" i="48"/>
  <c r="D115" i="48"/>
  <c r="M113" i="48"/>
  <c r="L113" i="48"/>
  <c r="O113" i="48"/>
  <c r="E114" i="48"/>
  <c r="K114" i="48" s="1"/>
  <c r="F114" i="48"/>
  <c r="H114" i="48" s="1"/>
  <c r="G114" i="48"/>
  <c r="I114" i="48"/>
  <c r="AL88" i="53"/>
  <c r="H113" i="48"/>
  <c r="AL87" i="53"/>
  <c r="AK50" i="29"/>
  <c r="AH86" i="47" s="1"/>
  <c r="AG86" i="47"/>
  <c r="C191" i="48"/>
  <c r="R79" i="48"/>
  <c r="X79" i="48"/>
  <c r="Y79" i="48"/>
  <c r="Z79" i="48"/>
  <c r="T79" i="48"/>
  <c r="P79" i="48"/>
  <c r="Q79" i="48"/>
  <c r="W79" i="48"/>
  <c r="S79" i="48"/>
  <c r="AA79" i="48"/>
  <c r="W84" i="47"/>
  <c r="AA48" i="29"/>
  <c r="X84" i="47" s="1"/>
  <c r="AM8" i="53"/>
  <c r="AM87" i="53" s="1"/>
  <c r="AN22" i="53"/>
  <c r="AN25" i="53" s="1"/>
  <c r="AN67" i="53"/>
  <c r="AN104" i="53" s="1"/>
  <c r="AN3" i="53"/>
  <c r="AN5" i="53"/>
  <c r="AN7" i="53"/>
  <c r="AN12" i="53" a="1"/>
  <c r="AN12" i="53" s="1"/>
  <c r="AN11" i="53" s="1"/>
  <c r="AN6" i="53"/>
  <c r="AO4" i="53"/>
  <c r="C155" i="48"/>
  <c r="AF84" i="47"/>
  <c r="AJ48" i="29"/>
  <c r="AH26" i="35"/>
  <c r="AD7" i="47"/>
  <c r="AH23" i="35"/>
  <c r="AD8" i="47"/>
  <c r="AI25" i="35"/>
  <c r="AE6" i="47"/>
  <c r="AD5" i="47"/>
  <c r="AH22" i="35"/>
  <c r="AH24" i="35"/>
  <c r="AD9" i="47"/>
  <c r="AH108" i="47" l="1"/>
  <c r="C116" i="48"/>
  <c r="B116" i="48"/>
  <c r="D116" i="48"/>
  <c r="E115" i="48"/>
  <c r="K115" i="48" s="1"/>
  <c r="G115" i="48"/>
  <c r="F115" i="48"/>
  <c r="I115" i="48"/>
  <c r="M114" i="48"/>
  <c r="O114" i="48"/>
  <c r="L114" i="48"/>
  <c r="N114" i="48" s="1"/>
  <c r="AM77" i="53"/>
  <c r="N113" i="48"/>
  <c r="AN8" i="53"/>
  <c r="AN77" i="53" s="1"/>
  <c r="C156" i="48"/>
  <c r="AM76" i="53"/>
  <c r="C192" i="48"/>
  <c r="AG84" i="47"/>
  <c r="AK48" i="29"/>
  <c r="AH84" i="47" s="1"/>
  <c r="AO5" i="53"/>
  <c r="AO67" i="53"/>
  <c r="AO104" i="53" s="1"/>
  <c r="AO12" i="53" a="1"/>
  <c r="AO12" i="53" s="1"/>
  <c r="AO11" i="53" s="1"/>
  <c r="AP4" i="53"/>
  <c r="AO3" i="53"/>
  <c r="AO7" i="53"/>
  <c r="AO22" i="53"/>
  <c r="AO25" i="53" s="1"/>
  <c r="AO6" i="53"/>
  <c r="AM88" i="53"/>
  <c r="AN88" i="53" s="1"/>
  <c r="AJ25" i="35"/>
  <c r="AF6" i="47"/>
  <c r="AE8" i="47"/>
  <c r="AI23" i="35"/>
  <c r="AE5" i="47"/>
  <c r="AI22" i="35"/>
  <c r="AI24" i="35"/>
  <c r="AE9" i="47"/>
  <c r="AE7" i="47"/>
  <c r="AI26" i="35"/>
  <c r="AN76" i="53" l="1"/>
  <c r="H115" i="48"/>
  <c r="M115" i="48"/>
  <c r="O115" i="48"/>
  <c r="L115" i="48"/>
  <c r="C117" i="48"/>
  <c r="B117" i="48"/>
  <c r="D117" i="48"/>
  <c r="E116" i="48"/>
  <c r="K116" i="48" s="1"/>
  <c r="F116" i="48"/>
  <c r="H116" i="48" s="1"/>
  <c r="G116" i="48"/>
  <c r="I116" i="48"/>
  <c r="AO8" i="53"/>
  <c r="AO77" i="53" s="1"/>
  <c r="AO88" i="53"/>
  <c r="C157" i="48"/>
  <c r="C193" i="48"/>
  <c r="AP22" i="53"/>
  <c r="AP25" i="53" s="1"/>
  <c r="AP3" i="53"/>
  <c r="AP5" i="53"/>
  <c r="AP6" i="53"/>
  <c r="AP67" i="53"/>
  <c r="AP104" i="53" s="1"/>
  <c r="AP12" i="53" a="1"/>
  <c r="AP12" i="53" s="1"/>
  <c r="AP11" i="53" s="1"/>
  <c r="AQ4" i="53"/>
  <c r="AP7" i="53"/>
  <c r="AN87" i="53"/>
  <c r="AO87" i="53" s="1"/>
  <c r="AF7" i="47"/>
  <c r="AJ26" i="35"/>
  <c r="AJ24" i="35"/>
  <c r="AF9" i="47"/>
  <c r="AK25" i="35"/>
  <c r="AG6" i="47"/>
  <c r="AJ22" i="35"/>
  <c r="AF5" i="47"/>
  <c r="AF8" i="47"/>
  <c r="AJ23" i="35"/>
  <c r="AO76" i="53" l="1"/>
  <c r="L116" i="48"/>
  <c r="O116" i="48"/>
  <c r="M116" i="48"/>
  <c r="B118" i="48"/>
  <c r="B119" i="48" s="1"/>
  <c r="B120" i="48" s="1"/>
  <c r="B121" i="48" s="1"/>
  <c r="B122" i="48" s="1"/>
  <c r="B123" i="48" s="1"/>
  <c r="B124" i="48" s="1"/>
  <c r="B125" i="48" s="1"/>
  <c r="B126" i="48" s="1"/>
  <c r="B127" i="48" s="1"/>
  <c r="B128" i="48" s="1"/>
  <c r="B129" i="48" s="1"/>
  <c r="B130" i="48" s="1"/>
  <c r="B131" i="48" s="1"/>
  <c r="B132" i="48" s="1"/>
  <c r="B133" i="48" s="1"/>
  <c r="B134" i="48" s="1"/>
  <c r="B135" i="48" s="1"/>
  <c r="B136" i="48" s="1"/>
  <c r="B137" i="48" s="1"/>
  <c r="B138" i="48" s="1"/>
  <c r="B139" i="48" s="1"/>
  <c r="B140" i="48" s="1"/>
  <c r="B141" i="48" s="1"/>
  <c r="B142" i="48" s="1"/>
  <c r="B143" i="48" s="1"/>
  <c r="B144" i="48" s="1"/>
  <c r="B145" i="48" s="1"/>
  <c r="B146" i="48" s="1"/>
  <c r="B147" i="48" s="1"/>
  <c r="B148" i="48" s="1"/>
  <c r="B149" i="48" s="1"/>
  <c r="B150" i="48" s="1"/>
  <c r="B151" i="48" s="1"/>
  <c r="B152" i="48" s="1"/>
  <c r="C118" i="48"/>
  <c r="G117" i="48"/>
  <c r="E117" i="48"/>
  <c r="K117" i="48" s="1"/>
  <c r="F117" i="48"/>
  <c r="I117" i="48"/>
  <c r="N115" i="48"/>
  <c r="AP8" i="53"/>
  <c r="AP77" i="53" s="1"/>
  <c r="C158" i="48"/>
  <c r="AP87" i="53"/>
  <c r="C194" i="48"/>
  <c r="AP88" i="53"/>
  <c r="AQ67" i="53"/>
  <c r="AQ104" i="53" s="1"/>
  <c r="AQ6" i="53"/>
  <c r="AQ3" i="53"/>
  <c r="AQ10" i="53" s="1"/>
  <c r="AM10" i="53" s="1"/>
  <c r="AN10" i="53" s="1"/>
  <c r="AO10" i="53" s="1"/>
  <c r="AP10" i="53" s="1"/>
  <c r="AQ5" i="53"/>
  <c r="AQ7" i="53"/>
  <c r="AQ12" i="53" a="1"/>
  <c r="AQ12" i="53" s="1"/>
  <c r="AQ11" i="53" s="1"/>
  <c r="AQ22" i="53"/>
  <c r="AQ25" i="53" s="1"/>
  <c r="AR4" i="53"/>
  <c r="AG9" i="47"/>
  <c r="AK24" i="35"/>
  <c r="AH6" i="47"/>
  <c r="AL25" i="35"/>
  <c r="AK26" i="35"/>
  <c r="AG7" i="47"/>
  <c r="AK23" i="35"/>
  <c r="AG8" i="47"/>
  <c r="AK22" i="35"/>
  <c r="AG5" i="47"/>
  <c r="L117" i="48" l="1"/>
  <c r="O117" i="48"/>
  <c r="M117" i="48"/>
  <c r="E118" i="48"/>
  <c r="K118" i="48" s="1"/>
  <c r="I118" i="48"/>
  <c r="F118" i="48"/>
  <c r="G118" i="48"/>
  <c r="C119" i="48"/>
  <c r="I152" i="48"/>
  <c r="B153" i="48"/>
  <c r="F152" i="48"/>
  <c r="H152" i="48" s="1"/>
  <c r="E152" i="48"/>
  <c r="K152" i="48" s="1"/>
  <c r="G152" i="48"/>
  <c r="AP76" i="53"/>
  <c r="H117" i="48"/>
  <c r="N116" i="48"/>
  <c r="C159" i="48"/>
  <c r="AR22" i="53"/>
  <c r="AR25" i="53" s="1"/>
  <c r="AR3" i="53"/>
  <c r="AR67" i="53"/>
  <c r="AR104" i="53" s="1"/>
  <c r="AR12" i="53" a="1"/>
  <c r="AR12" i="53" s="1"/>
  <c r="AR11" i="53" s="1"/>
  <c r="AR7" i="53"/>
  <c r="AR5" i="53"/>
  <c r="AR6" i="53"/>
  <c r="AS4" i="53"/>
  <c r="C195" i="48"/>
  <c r="AQ8" i="53"/>
  <c r="AQ76" i="53" s="1"/>
  <c r="AL22" i="35"/>
  <c r="AH5" i="47"/>
  <c r="AH8" i="47"/>
  <c r="AL23" i="35"/>
  <c r="AI6" i="47"/>
  <c r="AM25" i="35"/>
  <c r="AH9" i="47"/>
  <c r="AL24" i="35"/>
  <c r="AL26" i="35"/>
  <c r="AH7" i="47"/>
  <c r="L152" i="48" l="1"/>
  <c r="N152" i="48" s="1"/>
  <c r="O152" i="48"/>
  <c r="M152" i="48"/>
  <c r="B154" i="48"/>
  <c r="F153" i="48"/>
  <c r="E153" i="48"/>
  <c r="K153" i="48" s="1"/>
  <c r="I153" i="48"/>
  <c r="G153" i="48"/>
  <c r="C120" i="48"/>
  <c r="E119" i="48"/>
  <c r="K119" i="48" s="1"/>
  <c r="G119" i="48"/>
  <c r="I119" i="48"/>
  <c r="F119" i="48"/>
  <c r="H118" i="48"/>
  <c r="O118" i="48"/>
  <c r="M118" i="48"/>
  <c r="L118" i="48"/>
  <c r="N117" i="48"/>
  <c r="AQ88" i="53"/>
  <c r="AS7" i="53"/>
  <c r="AT4" i="53"/>
  <c r="AS5" i="53"/>
  <c r="AS6" i="53"/>
  <c r="AS12" i="53" a="1"/>
  <c r="AS12" i="53" s="1"/>
  <c r="AS11" i="53" s="1"/>
  <c r="AS67" i="53"/>
  <c r="AS104" i="53" s="1"/>
  <c r="AS3" i="53"/>
  <c r="AS22" i="53"/>
  <c r="AS25" i="53" s="1"/>
  <c r="AQ87" i="53"/>
  <c r="C196" i="48"/>
  <c r="AR8" i="53"/>
  <c r="C160" i="48"/>
  <c r="AQ77" i="53"/>
  <c r="AM24" i="35"/>
  <c r="AI9" i="47"/>
  <c r="AI7" i="47"/>
  <c r="AM26" i="35"/>
  <c r="AN25" i="35"/>
  <c r="AJ6" i="47"/>
  <c r="AM23" i="35"/>
  <c r="AI8" i="47"/>
  <c r="AM22" i="35"/>
  <c r="AI5" i="47"/>
  <c r="N118" i="48" l="1"/>
  <c r="M119" i="48"/>
  <c r="O119" i="48"/>
  <c r="L119" i="48"/>
  <c r="N119" i="48" s="1"/>
  <c r="M153" i="48"/>
  <c r="L153" i="48"/>
  <c r="N153" i="48" s="1"/>
  <c r="O153" i="48"/>
  <c r="H153" i="48"/>
  <c r="F154" i="48"/>
  <c r="E154" i="48"/>
  <c r="K154" i="48" s="1"/>
  <c r="G154" i="48"/>
  <c r="I154" i="48"/>
  <c r="B155" i="48"/>
  <c r="G120" i="48"/>
  <c r="E120" i="48"/>
  <c r="K120" i="48" s="1"/>
  <c r="I120" i="48"/>
  <c r="C121" i="48"/>
  <c r="F120" i="48"/>
  <c r="H119" i="48"/>
  <c r="AR77" i="53"/>
  <c r="AR88" i="53"/>
  <c r="AR76" i="53"/>
  <c r="C161" i="48"/>
  <c r="C197" i="48"/>
  <c r="AT3" i="53"/>
  <c r="AT6" i="53"/>
  <c r="AT12" i="53" a="1"/>
  <c r="AT12" i="53" s="1"/>
  <c r="AT11" i="53" s="1"/>
  <c r="AT22" i="53"/>
  <c r="AT25" i="53" s="1"/>
  <c r="AT5" i="53"/>
  <c r="AT7" i="53"/>
  <c r="AT67" i="53"/>
  <c r="AT104" i="53" s="1"/>
  <c r="AU4" i="53"/>
  <c r="AR87" i="53"/>
  <c r="AS8" i="53"/>
  <c r="AN26" i="35"/>
  <c r="AJ7" i="47"/>
  <c r="AJ5" i="47"/>
  <c r="AN22" i="35"/>
  <c r="AN24" i="35"/>
  <c r="AJ9" i="47"/>
  <c r="AO25" i="35"/>
  <c r="AK6" i="47"/>
  <c r="AN23" i="35"/>
  <c r="AJ8" i="47"/>
  <c r="AT8" i="53" l="1"/>
  <c r="E155" i="48"/>
  <c r="K155" i="48" s="1"/>
  <c r="G155" i="48"/>
  <c r="F155" i="48"/>
  <c r="I155" i="48"/>
  <c r="B156" i="48"/>
  <c r="O154" i="48"/>
  <c r="L154" i="48"/>
  <c r="M154" i="48"/>
  <c r="H120" i="48"/>
  <c r="H154" i="48"/>
  <c r="C122" i="48"/>
  <c r="I121" i="48"/>
  <c r="F121" i="48"/>
  <c r="G121" i="48"/>
  <c r="E121" i="48"/>
  <c r="K121" i="48" s="1"/>
  <c r="M120" i="48"/>
  <c r="L120" i="48"/>
  <c r="O120" i="48"/>
  <c r="C198" i="48"/>
  <c r="AS77" i="53"/>
  <c r="AT77" i="53" s="1"/>
  <c r="C162" i="48"/>
  <c r="AS76" i="53"/>
  <c r="AT76" i="53" s="1"/>
  <c r="AS87" i="53"/>
  <c r="AT87" i="53" s="1"/>
  <c r="AU3" i="53"/>
  <c r="AV4" i="53"/>
  <c r="AU5" i="53"/>
  <c r="AU67" i="53"/>
  <c r="AU104" i="53" s="1"/>
  <c r="AU6" i="53"/>
  <c r="AU12" i="53" a="1"/>
  <c r="AU12" i="53" s="1"/>
  <c r="AU11" i="53" s="1"/>
  <c r="AU7" i="53"/>
  <c r="AU22" i="53"/>
  <c r="AU25" i="53" s="1"/>
  <c r="AS88" i="53"/>
  <c r="AT88" i="53" s="1"/>
  <c r="AO23" i="35"/>
  <c r="AK8" i="47"/>
  <c r="AP25" i="35"/>
  <c r="AM6" i="47" s="1"/>
  <c r="AL6" i="47"/>
  <c r="AK5" i="47"/>
  <c r="AO22" i="35"/>
  <c r="AK9" i="47"/>
  <c r="AO24" i="35"/>
  <c r="AO26" i="35"/>
  <c r="AK7" i="47"/>
  <c r="N154" i="48" l="1"/>
  <c r="N120" i="48"/>
  <c r="M121" i="48"/>
  <c r="O121" i="48"/>
  <c r="L121" i="48"/>
  <c r="N121" i="48" s="1"/>
  <c r="G156" i="48"/>
  <c r="E156" i="48"/>
  <c r="K156" i="48" s="1"/>
  <c r="F156" i="48"/>
  <c r="H156" i="48" s="1"/>
  <c r="B157" i="48"/>
  <c r="I156" i="48"/>
  <c r="H121" i="48"/>
  <c r="H155" i="48"/>
  <c r="F122" i="48"/>
  <c r="I122" i="48"/>
  <c r="E122" i="48"/>
  <c r="K122" i="48" s="1"/>
  <c r="G122" i="48"/>
  <c r="C123" i="48"/>
  <c r="L155" i="48"/>
  <c r="N155" i="48" s="1"/>
  <c r="M155" i="48"/>
  <c r="O155" i="48"/>
  <c r="AV12" i="53" a="1"/>
  <c r="AV12" i="53" s="1"/>
  <c r="AV11" i="53" s="1"/>
  <c r="AV67" i="53"/>
  <c r="AV104" i="53" s="1"/>
  <c r="AV5" i="53"/>
  <c r="AV3" i="53"/>
  <c r="AV10" i="53" s="1"/>
  <c r="AR10" i="53" s="1"/>
  <c r="AS10" i="53" s="1"/>
  <c r="AT10" i="53" s="1"/>
  <c r="AU10" i="53" s="1"/>
  <c r="AV22" i="53"/>
  <c r="AV25" i="53" s="1"/>
  <c r="AV7" i="53"/>
  <c r="AV6" i="53"/>
  <c r="C163" i="48"/>
  <c r="C199" i="48"/>
  <c r="AU8" i="53"/>
  <c r="AU88" i="53" s="1"/>
  <c r="AL7" i="47"/>
  <c r="AP26" i="35"/>
  <c r="AM7" i="47" s="1"/>
  <c r="AP24" i="35"/>
  <c r="AM9" i="47" s="1"/>
  <c r="AL9" i="47"/>
  <c r="AP22" i="35"/>
  <c r="AM5" i="47" s="1"/>
  <c r="AL5" i="47"/>
  <c r="AP23" i="35"/>
  <c r="AM8" i="47" s="1"/>
  <c r="AL8" i="47"/>
  <c r="AU77" i="53" l="1"/>
  <c r="L122" i="48"/>
  <c r="N122" i="48" s="1"/>
  <c r="M122" i="48"/>
  <c r="O122" i="48"/>
  <c r="L156" i="48"/>
  <c r="O156" i="48"/>
  <c r="M156" i="48"/>
  <c r="H122" i="48"/>
  <c r="E123" i="48"/>
  <c r="K123" i="48" s="1"/>
  <c r="G123" i="48"/>
  <c r="C124" i="48"/>
  <c r="I123" i="48"/>
  <c r="F123" i="48"/>
  <c r="I157" i="48"/>
  <c r="E157" i="48"/>
  <c r="K157" i="48" s="1"/>
  <c r="F157" i="48"/>
  <c r="H157" i="48" s="1"/>
  <c r="B158" i="48"/>
  <c r="G157" i="48"/>
  <c r="C164" i="48"/>
  <c r="AU87" i="53"/>
  <c r="C200" i="48"/>
  <c r="AU76" i="53"/>
  <c r="AV8" i="53"/>
  <c r="L123" i="48" l="1"/>
  <c r="O123" i="48"/>
  <c r="M123" i="48"/>
  <c r="B159" i="48"/>
  <c r="E158" i="48"/>
  <c r="K158" i="48" s="1"/>
  <c r="G158" i="48"/>
  <c r="I158" i="48"/>
  <c r="F158" i="48"/>
  <c r="H158" i="48" s="1"/>
  <c r="E124" i="48"/>
  <c r="K124" i="48" s="1"/>
  <c r="G124" i="48"/>
  <c r="I124" i="48"/>
  <c r="F124" i="48"/>
  <c r="H124" i="48" s="1"/>
  <c r="C125" i="48"/>
  <c r="N156" i="48"/>
  <c r="M157" i="48"/>
  <c r="O157" i="48"/>
  <c r="L157" i="48"/>
  <c r="H123" i="48"/>
  <c r="C165" i="48"/>
  <c r="AV88" i="53"/>
  <c r="AV87" i="53"/>
  <c r="AV77" i="53"/>
  <c r="AV76" i="53"/>
  <c r="C201" i="48"/>
  <c r="N157" i="48" l="1"/>
  <c r="M158" i="48"/>
  <c r="L158" i="48"/>
  <c r="N158" i="48" s="1"/>
  <c r="O158" i="48"/>
  <c r="E159" i="48"/>
  <c r="K159" i="48" s="1"/>
  <c r="I159" i="48"/>
  <c r="B160" i="48"/>
  <c r="F159" i="48"/>
  <c r="G159" i="48"/>
  <c r="I125" i="48"/>
  <c r="G125" i="48"/>
  <c r="F125" i="48"/>
  <c r="H125" i="48" s="1"/>
  <c r="C126" i="48"/>
  <c r="E125" i="48"/>
  <c r="K125" i="48" s="1"/>
  <c r="N123" i="48"/>
  <c r="M124" i="48"/>
  <c r="L124" i="48"/>
  <c r="N124" i="48" s="1"/>
  <c r="O124" i="48"/>
  <c r="C202" i="48"/>
  <c r="C166" i="48"/>
  <c r="H159" i="48" l="1"/>
  <c r="B161" i="48"/>
  <c r="F160" i="48"/>
  <c r="H160" i="48" s="1"/>
  <c r="E160" i="48"/>
  <c r="K160" i="48" s="1"/>
  <c r="G160" i="48"/>
  <c r="I160" i="48"/>
  <c r="L159" i="48"/>
  <c r="M159" i="48"/>
  <c r="O159" i="48"/>
  <c r="M125" i="48"/>
  <c r="L125" i="48"/>
  <c r="N125" i="48" s="1"/>
  <c r="O125" i="48"/>
  <c r="I126" i="48"/>
  <c r="G126" i="48"/>
  <c r="C127" i="48"/>
  <c r="F126" i="48"/>
  <c r="H126" i="48" s="1"/>
  <c r="E126" i="48"/>
  <c r="K126" i="48" s="1"/>
  <c r="C167" i="48"/>
  <c r="C203" i="48"/>
  <c r="N159" i="48" l="1"/>
  <c r="M126" i="48"/>
  <c r="L126" i="48"/>
  <c r="N126" i="48" s="1"/>
  <c r="O126" i="48"/>
  <c r="M160" i="48"/>
  <c r="O160" i="48"/>
  <c r="L160" i="48"/>
  <c r="N160" i="48" s="1"/>
  <c r="E127" i="48"/>
  <c r="K127" i="48" s="1"/>
  <c r="F127" i="48"/>
  <c r="H127" i="48" s="1"/>
  <c r="G127" i="48"/>
  <c r="I127" i="48"/>
  <c r="C128" i="48"/>
  <c r="B162" i="48"/>
  <c r="E161" i="48"/>
  <c r="K161" i="48" s="1"/>
  <c r="G161" i="48"/>
  <c r="I161" i="48"/>
  <c r="F161" i="48"/>
  <c r="C204" i="48"/>
  <c r="C168" i="48"/>
  <c r="M127" i="48" l="1"/>
  <c r="L127" i="48"/>
  <c r="N127" i="48" s="1"/>
  <c r="O127" i="48"/>
  <c r="H161" i="48"/>
  <c r="O161" i="48"/>
  <c r="L161" i="48"/>
  <c r="M161" i="48"/>
  <c r="I162" i="48"/>
  <c r="G162" i="48"/>
  <c r="F162" i="48"/>
  <c r="H162" i="48" s="1"/>
  <c r="B163" i="48"/>
  <c r="E162" i="48"/>
  <c r="K162" i="48" s="1"/>
  <c r="E128" i="48"/>
  <c r="K128" i="48" s="1"/>
  <c r="F128" i="48"/>
  <c r="I128" i="48"/>
  <c r="G128" i="48"/>
  <c r="C129" i="48"/>
  <c r="C169" i="48"/>
  <c r="C205" i="48"/>
  <c r="I163" i="48" l="1"/>
  <c r="F163" i="48"/>
  <c r="B164" i="48"/>
  <c r="G163" i="48"/>
  <c r="E163" i="48"/>
  <c r="K163" i="48" s="1"/>
  <c r="N161" i="48"/>
  <c r="M162" i="48"/>
  <c r="L162" i="48"/>
  <c r="N162" i="48" s="1"/>
  <c r="O162" i="48"/>
  <c r="I129" i="48"/>
  <c r="G129" i="48"/>
  <c r="F129" i="48"/>
  <c r="H129" i="48" s="1"/>
  <c r="C130" i="48"/>
  <c r="E129" i="48"/>
  <c r="K129" i="48" s="1"/>
  <c r="H128" i="48"/>
  <c r="L128" i="48"/>
  <c r="N128" i="48" s="1"/>
  <c r="O128" i="48"/>
  <c r="M128" i="48"/>
  <c r="C206" i="48"/>
  <c r="C170" i="48"/>
  <c r="L163" i="48" l="1"/>
  <c r="N163" i="48" s="1"/>
  <c r="M163" i="48"/>
  <c r="O163" i="48"/>
  <c r="F164" i="48"/>
  <c r="B165" i="48"/>
  <c r="E164" i="48"/>
  <c r="K164" i="48" s="1"/>
  <c r="G164" i="48"/>
  <c r="I164" i="48"/>
  <c r="O129" i="48"/>
  <c r="M129" i="48"/>
  <c r="L129" i="48"/>
  <c r="N129" i="48" s="1"/>
  <c r="H163" i="48"/>
  <c r="E130" i="48"/>
  <c r="K130" i="48" s="1"/>
  <c r="I130" i="48"/>
  <c r="G130" i="48"/>
  <c r="C131" i="48"/>
  <c r="F130" i="48"/>
  <c r="H130" i="48" s="1"/>
  <c r="C171" i="48"/>
  <c r="C207" i="48"/>
  <c r="O164" i="48" l="1"/>
  <c r="L164" i="48"/>
  <c r="M164" i="48"/>
  <c r="F165" i="48"/>
  <c r="I165" i="48"/>
  <c r="E165" i="48"/>
  <c r="K165" i="48" s="1"/>
  <c r="G165" i="48"/>
  <c r="B166" i="48"/>
  <c r="C132" i="48"/>
  <c r="I131" i="48"/>
  <c r="G131" i="48"/>
  <c r="E131" i="48"/>
  <c r="K131" i="48" s="1"/>
  <c r="F131" i="48"/>
  <c r="H164" i="48"/>
  <c r="L130" i="48"/>
  <c r="O130" i="48"/>
  <c r="M130" i="48"/>
  <c r="C172" i="48"/>
  <c r="C208" i="48"/>
  <c r="I166" i="48" l="1"/>
  <c r="F166" i="48"/>
  <c r="H166" i="48" s="1"/>
  <c r="E166" i="48"/>
  <c r="K166" i="48" s="1"/>
  <c r="B167" i="48"/>
  <c r="G166" i="48"/>
  <c r="M165" i="48"/>
  <c r="O165" i="48"/>
  <c r="L165" i="48"/>
  <c r="N165" i="48" s="1"/>
  <c r="M131" i="48"/>
  <c r="O131" i="48"/>
  <c r="L131" i="48"/>
  <c r="N131" i="48" s="1"/>
  <c r="H165" i="48"/>
  <c r="N130" i="48"/>
  <c r="N164" i="48"/>
  <c r="G132" i="48"/>
  <c r="I132" i="48"/>
  <c r="F132" i="48"/>
  <c r="H132" i="48" s="1"/>
  <c r="E132" i="48"/>
  <c r="K132" i="48" s="1"/>
  <c r="C133" i="48"/>
  <c r="H131" i="48"/>
  <c r="C209" i="48"/>
  <c r="C173" i="48"/>
  <c r="D9" i="15"/>
  <c r="C9" i="15"/>
  <c r="F133" i="48" l="1"/>
  <c r="H133" i="48" s="1"/>
  <c r="G133" i="48"/>
  <c r="E133" i="48"/>
  <c r="K133" i="48" s="1"/>
  <c r="C134" i="48"/>
  <c r="I133" i="48"/>
  <c r="O132" i="48"/>
  <c r="L132" i="48"/>
  <c r="N132" i="48" s="1"/>
  <c r="M132" i="48"/>
  <c r="E167" i="48"/>
  <c r="K167" i="48" s="1"/>
  <c r="B168" i="48"/>
  <c r="G167" i="48"/>
  <c r="I167" i="48"/>
  <c r="F167" i="48"/>
  <c r="H167" i="48" s="1"/>
  <c r="O166" i="48"/>
  <c r="M166" i="48"/>
  <c r="L166" i="48"/>
  <c r="C174" i="48"/>
  <c r="C210" i="48"/>
  <c r="L167" i="48" l="1"/>
  <c r="N167" i="48" s="1"/>
  <c r="O167" i="48"/>
  <c r="M167" i="48"/>
  <c r="E168" i="48"/>
  <c r="K168" i="48" s="1"/>
  <c r="I168" i="48"/>
  <c r="G168" i="48"/>
  <c r="B169" i="48"/>
  <c r="F168" i="48"/>
  <c r="H168" i="48" s="1"/>
  <c r="N166" i="48"/>
  <c r="C135" i="48"/>
  <c r="E134" i="48"/>
  <c r="K134" i="48" s="1"/>
  <c r="F134" i="48"/>
  <c r="H134" i="48" s="1"/>
  <c r="G134" i="48"/>
  <c r="I134" i="48"/>
  <c r="M133" i="48"/>
  <c r="O133" i="48"/>
  <c r="L133" i="48"/>
  <c r="N133" i="48" s="1"/>
  <c r="C211" i="48"/>
  <c r="C175" i="48"/>
  <c r="L134" i="48" l="1"/>
  <c r="N134" i="48" s="1"/>
  <c r="M134" i="48"/>
  <c r="O134" i="48"/>
  <c r="E135" i="48"/>
  <c r="K135" i="48" s="1"/>
  <c r="I135" i="48"/>
  <c r="F135" i="48"/>
  <c r="G135" i="48"/>
  <c r="C136" i="48"/>
  <c r="B170" i="48"/>
  <c r="E169" i="48"/>
  <c r="K169" i="48" s="1"/>
  <c r="F169" i="48"/>
  <c r="G169" i="48"/>
  <c r="I169" i="48"/>
  <c r="M168" i="48"/>
  <c r="O168" i="48"/>
  <c r="L168" i="48"/>
  <c r="N168" i="48" s="1"/>
  <c r="C212" i="48"/>
  <c r="C176" i="48"/>
  <c r="M169" i="48" l="1"/>
  <c r="L169" i="48"/>
  <c r="N169" i="48" s="1"/>
  <c r="O169" i="48"/>
  <c r="B171" i="48"/>
  <c r="F170" i="48"/>
  <c r="G170" i="48"/>
  <c r="E170" i="48"/>
  <c r="K170" i="48" s="1"/>
  <c r="I170" i="48"/>
  <c r="H135" i="48"/>
  <c r="L135" i="48"/>
  <c r="M135" i="48"/>
  <c r="O135" i="48"/>
  <c r="H169" i="48"/>
  <c r="C137" i="48"/>
  <c r="F136" i="48"/>
  <c r="E136" i="48"/>
  <c r="K136" i="48" s="1"/>
  <c r="G136" i="48"/>
  <c r="I136" i="48"/>
  <c r="C177" i="48"/>
  <c r="C213" i="48"/>
  <c r="M170" i="48" l="1"/>
  <c r="L170" i="48"/>
  <c r="O170" i="48"/>
  <c r="H170" i="48"/>
  <c r="B172" i="48"/>
  <c r="G171" i="48"/>
  <c r="F171" i="48"/>
  <c r="H171" i="48" s="1"/>
  <c r="E171" i="48"/>
  <c r="K171" i="48" s="1"/>
  <c r="I171" i="48"/>
  <c r="H136" i="48"/>
  <c r="N135" i="48"/>
  <c r="F137" i="48"/>
  <c r="H137" i="48" s="1"/>
  <c r="C138" i="48"/>
  <c r="G137" i="48"/>
  <c r="I137" i="48"/>
  <c r="E137" i="48"/>
  <c r="K137" i="48" s="1"/>
  <c r="M136" i="48"/>
  <c r="O136" i="48"/>
  <c r="L136" i="48"/>
  <c r="N136" i="48" s="1"/>
  <c r="C178" i="48"/>
  <c r="C214" i="48"/>
  <c r="B173" i="48" l="1"/>
  <c r="I172" i="48"/>
  <c r="F172" i="48"/>
  <c r="G172" i="48"/>
  <c r="E172" i="48"/>
  <c r="K172" i="48" s="1"/>
  <c r="O137" i="48"/>
  <c r="L137" i="48"/>
  <c r="M137" i="48"/>
  <c r="M171" i="48"/>
  <c r="O171" i="48"/>
  <c r="L171" i="48"/>
  <c r="N171" i="48" s="1"/>
  <c r="N170" i="48"/>
  <c r="C139" i="48"/>
  <c r="G138" i="48"/>
  <c r="E138" i="48"/>
  <c r="K138" i="48" s="1"/>
  <c r="I138" i="48"/>
  <c r="F138" i="48"/>
  <c r="H138" i="48" s="1"/>
  <c r="C179" i="48"/>
  <c r="C215" i="48"/>
  <c r="N137" i="48" l="1"/>
  <c r="M172" i="48"/>
  <c r="L172" i="48"/>
  <c r="N172" i="48" s="1"/>
  <c r="O172" i="48"/>
  <c r="H172" i="48"/>
  <c r="M138" i="48"/>
  <c r="O138" i="48"/>
  <c r="L138" i="48"/>
  <c r="N138" i="48" s="1"/>
  <c r="I139" i="48"/>
  <c r="G139" i="48"/>
  <c r="E139" i="48"/>
  <c r="K139" i="48" s="1"/>
  <c r="C140" i="48"/>
  <c r="F139" i="48"/>
  <c r="F173" i="48"/>
  <c r="E173" i="48"/>
  <c r="K173" i="48" s="1"/>
  <c r="I173" i="48"/>
  <c r="B174" i="48"/>
  <c r="G173" i="48"/>
  <c r="C180" i="48"/>
  <c r="C216" i="48"/>
  <c r="M139" i="48" l="1"/>
  <c r="O139" i="48"/>
  <c r="L139" i="48"/>
  <c r="N139" i="48" s="1"/>
  <c r="G174" i="48"/>
  <c r="E174" i="48"/>
  <c r="K174" i="48" s="1"/>
  <c r="I174" i="48"/>
  <c r="F174" i="48"/>
  <c r="H174" i="48" s="1"/>
  <c r="B175" i="48"/>
  <c r="O173" i="48"/>
  <c r="M173" i="48"/>
  <c r="L173" i="48"/>
  <c r="N173" i="48" s="1"/>
  <c r="I140" i="48"/>
  <c r="F140" i="48"/>
  <c r="G140" i="48"/>
  <c r="E140" i="48"/>
  <c r="K140" i="48" s="1"/>
  <c r="C141" i="48"/>
  <c r="H173" i="48"/>
  <c r="H139" i="48"/>
  <c r="C181" i="48"/>
  <c r="C217" i="48"/>
  <c r="F175" i="48" l="1"/>
  <c r="E175" i="48"/>
  <c r="K175" i="48" s="1"/>
  <c r="G175" i="48"/>
  <c r="B176" i="48"/>
  <c r="I175" i="48"/>
  <c r="L174" i="48"/>
  <c r="M174" i="48"/>
  <c r="O174" i="48"/>
  <c r="L140" i="48"/>
  <c r="M140" i="48"/>
  <c r="O140" i="48"/>
  <c r="E141" i="48"/>
  <c r="K141" i="48" s="1"/>
  <c r="F141" i="48"/>
  <c r="I141" i="48"/>
  <c r="G141" i="48"/>
  <c r="C142" i="48"/>
  <c r="H140" i="48"/>
  <c r="C218" i="48"/>
  <c r="C182" i="48"/>
  <c r="O141" i="48" l="1"/>
  <c r="L141" i="48"/>
  <c r="M141" i="48"/>
  <c r="N174" i="48"/>
  <c r="N140" i="48"/>
  <c r="E142" i="48"/>
  <c r="K142" i="48" s="1"/>
  <c r="I142" i="48"/>
  <c r="G142" i="48"/>
  <c r="F142" i="48"/>
  <c r="H142" i="48" s="1"/>
  <c r="C143" i="48"/>
  <c r="G176" i="48"/>
  <c r="B177" i="48"/>
  <c r="E176" i="48"/>
  <c r="K176" i="48" s="1"/>
  <c r="F176" i="48"/>
  <c r="I176" i="48"/>
  <c r="O175" i="48"/>
  <c r="L175" i="48"/>
  <c r="M175" i="48"/>
  <c r="H141" i="48"/>
  <c r="H175" i="48"/>
  <c r="C183" i="48"/>
  <c r="C219" i="48"/>
  <c r="M142" i="48" l="1"/>
  <c r="O142" i="48"/>
  <c r="L142" i="48"/>
  <c r="N142" i="48" s="1"/>
  <c r="N175" i="48"/>
  <c r="E177" i="48"/>
  <c r="K177" i="48" s="1"/>
  <c r="G177" i="48"/>
  <c r="F177" i="48"/>
  <c r="H177" i="48" s="1"/>
  <c r="B178" i="48"/>
  <c r="I177" i="48"/>
  <c r="G143" i="48"/>
  <c r="E143" i="48"/>
  <c r="K143" i="48" s="1"/>
  <c r="I143" i="48"/>
  <c r="C144" i="48"/>
  <c r="F143" i="48"/>
  <c r="H176" i="48"/>
  <c r="N141" i="48"/>
  <c r="M176" i="48"/>
  <c r="L176" i="48"/>
  <c r="N176" i="48" s="1"/>
  <c r="O176" i="48"/>
  <c r="C184" i="48"/>
  <c r="M143" i="48" l="1"/>
  <c r="O143" i="48"/>
  <c r="L143" i="48"/>
  <c r="N143" i="48" s="1"/>
  <c r="O177" i="48"/>
  <c r="M177" i="48"/>
  <c r="L177" i="48"/>
  <c r="N177" i="48" s="1"/>
  <c r="H143" i="48"/>
  <c r="I178" i="48"/>
  <c r="E178" i="48"/>
  <c r="K178" i="48" s="1"/>
  <c r="G178" i="48"/>
  <c r="F178" i="48"/>
  <c r="H178" i="48" s="1"/>
  <c r="B179" i="48"/>
  <c r="C145" i="48"/>
  <c r="F144" i="48"/>
  <c r="E144" i="48"/>
  <c r="K144" i="48" s="1"/>
  <c r="G144" i="48"/>
  <c r="I144" i="48"/>
  <c r="C185" i="48"/>
  <c r="O178" i="48" l="1"/>
  <c r="L178" i="48"/>
  <c r="M178" i="48"/>
  <c r="I179" i="48"/>
  <c r="E179" i="48"/>
  <c r="K179" i="48" s="1"/>
  <c r="B180" i="48"/>
  <c r="G179" i="48"/>
  <c r="F179" i="48"/>
  <c r="H179" i="48" s="1"/>
  <c r="H144" i="48"/>
  <c r="L144" i="48"/>
  <c r="O144" i="48"/>
  <c r="M144" i="48"/>
  <c r="I145" i="48"/>
  <c r="C146" i="48"/>
  <c r="F145" i="48"/>
  <c r="E145" i="48"/>
  <c r="K145" i="48" s="1"/>
  <c r="G145" i="48"/>
  <c r="F180" i="48" l="1"/>
  <c r="B181" i="48"/>
  <c r="G180" i="48"/>
  <c r="E180" i="48"/>
  <c r="K180" i="48" s="1"/>
  <c r="I180" i="48"/>
  <c r="M179" i="48"/>
  <c r="L179" i="48"/>
  <c r="N179" i="48" s="1"/>
  <c r="O179" i="48"/>
  <c r="H145" i="48"/>
  <c r="N144" i="48"/>
  <c r="F146" i="48"/>
  <c r="H146" i="48" s="1"/>
  <c r="I146" i="48"/>
  <c r="E146" i="48"/>
  <c r="K146" i="48" s="1"/>
  <c r="G146" i="48"/>
  <c r="C147" i="48"/>
  <c r="N178" i="48"/>
  <c r="L145" i="48"/>
  <c r="O145" i="48"/>
  <c r="M145" i="48"/>
  <c r="N145" i="48" l="1"/>
  <c r="O180" i="48"/>
  <c r="L180" i="48"/>
  <c r="M180" i="48"/>
  <c r="I147" i="48"/>
  <c r="F147" i="48"/>
  <c r="E147" i="48"/>
  <c r="K147" i="48" s="1"/>
  <c r="G147" i="48"/>
  <c r="C148" i="48"/>
  <c r="B182" i="48"/>
  <c r="F181" i="48"/>
  <c r="H181" i="48" s="1"/>
  <c r="I181" i="48"/>
  <c r="E181" i="48"/>
  <c r="K181" i="48" s="1"/>
  <c r="G181" i="48"/>
  <c r="M146" i="48"/>
  <c r="L146" i="48"/>
  <c r="N146" i="48" s="1"/>
  <c r="O146" i="48"/>
  <c r="H180" i="48"/>
  <c r="H147" i="48" l="1"/>
  <c r="E182" i="48"/>
  <c r="K182" i="48" s="1"/>
  <c r="G182" i="48"/>
  <c r="I182" i="48"/>
  <c r="B183" i="48"/>
  <c r="F182" i="48"/>
  <c r="H182" i="48" s="1"/>
  <c r="C149" i="48"/>
  <c r="G148" i="48"/>
  <c r="I148" i="48"/>
  <c r="F148" i="48"/>
  <c r="E148" i="48"/>
  <c r="K148" i="48" s="1"/>
  <c r="N180" i="48"/>
  <c r="L147" i="48"/>
  <c r="O147" i="48"/>
  <c r="M147" i="48"/>
  <c r="L181" i="48"/>
  <c r="N181" i="48" s="1"/>
  <c r="M181" i="48"/>
  <c r="O181" i="48"/>
  <c r="O148" i="48" l="1"/>
  <c r="L148" i="48"/>
  <c r="M148" i="48"/>
  <c r="G183" i="48"/>
  <c r="F183" i="48"/>
  <c r="B184" i="48"/>
  <c r="I183" i="48"/>
  <c r="E183" i="48"/>
  <c r="K183" i="48" s="1"/>
  <c r="H148" i="48"/>
  <c r="L182" i="48"/>
  <c r="M182" i="48"/>
  <c r="O182" i="48"/>
  <c r="E149" i="48"/>
  <c r="K149" i="48" s="1"/>
  <c r="G149" i="48"/>
  <c r="I149" i="48"/>
  <c r="F149" i="48"/>
  <c r="H149" i="48" s="1"/>
  <c r="C150" i="48"/>
  <c r="N147" i="48"/>
  <c r="E184" i="48" l="1"/>
  <c r="K184" i="48" s="1"/>
  <c r="I184" i="48"/>
  <c r="F184" i="48"/>
  <c r="G184" i="48"/>
  <c r="B185" i="48"/>
  <c r="N182" i="48"/>
  <c r="I150" i="48"/>
  <c r="G150" i="48"/>
  <c r="F150" i="48"/>
  <c r="H150" i="48" s="1"/>
  <c r="C151" i="48"/>
  <c r="E150" i="48"/>
  <c r="K150" i="48" s="1"/>
  <c r="H183" i="48"/>
  <c r="N148" i="48"/>
  <c r="M183" i="48"/>
  <c r="O183" i="48"/>
  <c r="L183" i="48"/>
  <c r="N183" i="48" s="1"/>
  <c r="M149" i="48"/>
  <c r="O149" i="48"/>
  <c r="L149" i="48"/>
  <c r="N149" i="48" s="1"/>
  <c r="B186" i="48" l="1"/>
  <c r="I185" i="48"/>
  <c r="F185" i="48"/>
  <c r="H185" i="48" s="1"/>
  <c r="E185" i="48"/>
  <c r="K185" i="48" s="1"/>
  <c r="G185" i="48"/>
  <c r="G151" i="48"/>
  <c r="E151" i="48"/>
  <c r="K151" i="48" s="1"/>
  <c r="F151" i="48"/>
  <c r="H151" i="48" s="1"/>
  <c r="I151" i="48"/>
  <c r="H184" i="48"/>
  <c r="M150" i="48"/>
  <c r="O150" i="48"/>
  <c r="L150" i="48"/>
  <c r="M184" i="48"/>
  <c r="O184" i="48"/>
  <c r="L184" i="48"/>
  <c r="N184" i="48" s="1"/>
  <c r="O185" i="48" l="1"/>
  <c r="M185" i="48"/>
  <c r="L185" i="48"/>
  <c r="N185" i="48" s="1"/>
  <c r="M151" i="48"/>
  <c r="O151" i="48"/>
  <c r="L151" i="48"/>
  <c r="N151" i="48" s="1"/>
  <c r="N150" i="48"/>
  <c r="B187" i="48"/>
  <c r="I186" i="48"/>
  <c r="E186" i="48"/>
  <c r="K186" i="48" s="1"/>
  <c r="G186" i="48"/>
  <c r="F186" i="48"/>
  <c r="H186" i="48" s="1"/>
  <c r="M186" i="48" l="1"/>
  <c r="O186" i="48"/>
  <c r="L186" i="48"/>
  <c r="N186" i="48" s="1"/>
  <c r="B188" i="48"/>
  <c r="F187" i="48"/>
  <c r="E187" i="48"/>
  <c r="K187" i="48" s="1"/>
  <c r="I187" i="48"/>
  <c r="G187" i="48"/>
  <c r="O187" i="48" l="1"/>
  <c r="M187" i="48"/>
  <c r="L187" i="48"/>
  <c r="N187" i="48" s="1"/>
  <c r="H187" i="48"/>
  <c r="G188" i="48"/>
  <c r="I188" i="48"/>
  <c r="F188" i="48"/>
  <c r="H188" i="48" s="1"/>
  <c r="B189" i="48"/>
  <c r="E188" i="48"/>
  <c r="K188" i="48" s="1"/>
  <c r="F189" i="48" l="1"/>
  <c r="B190" i="48"/>
  <c r="I189" i="48"/>
  <c r="E189" i="48"/>
  <c r="K189" i="48" s="1"/>
  <c r="G189" i="48"/>
  <c r="O188" i="48"/>
  <c r="L188" i="48"/>
  <c r="M188" i="48"/>
  <c r="M189" i="48" l="1"/>
  <c r="O189" i="48"/>
  <c r="L189" i="48"/>
  <c r="N189" i="48" s="1"/>
  <c r="B191" i="48"/>
  <c r="G190" i="48"/>
  <c r="F190" i="48"/>
  <c r="H190" i="48" s="1"/>
  <c r="E190" i="48"/>
  <c r="K190" i="48" s="1"/>
  <c r="I190" i="48"/>
  <c r="N188" i="48"/>
  <c r="H189" i="48"/>
  <c r="I191" i="48" l="1"/>
  <c r="E191" i="48"/>
  <c r="K191" i="48" s="1"/>
  <c r="G191" i="48"/>
  <c r="B192" i="48"/>
  <c r="F191" i="48"/>
  <c r="O190" i="48"/>
  <c r="M190" i="48"/>
  <c r="L190" i="48"/>
  <c r="N190" i="48" s="1"/>
  <c r="H191" i="48" l="1"/>
  <c r="B193" i="48"/>
  <c r="E192" i="48"/>
  <c r="K192" i="48" s="1"/>
  <c r="F192" i="48"/>
  <c r="G192" i="48"/>
  <c r="I192" i="48"/>
  <c r="O191" i="48"/>
  <c r="M191" i="48"/>
  <c r="L191" i="48"/>
  <c r="N191" i="48" l="1"/>
  <c r="H192" i="48"/>
  <c r="G193" i="48"/>
  <c r="E193" i="48"/>
  <c r="K193" i="48" s="1"/>
  <c r="F193" i="48"/>
  <c r="H193" i="48" s="1"/>
  <c r="I193" i="48"/>
  <c r="B194" i="48"/>
  <c r="L192" i="48"/>
  <c r="N192" i="48" s="1"/>
  <c r="O192" i="48"/>
  <c r="M192" i="48"/>
  <c r="B195" i="48" l="1"/>
  <c r="I194" i="48"/>
  <c r="G194" i="48"/>
  <c r="E194" i="48"/>
  <c r="K194" i="48" s="1"/>
  <c r="F194" i="48"/>
  <c r="H194" i="48" s="1"/>
  <c r="O193" i="48"/>
  <c r="L193" i="48"/>
  <c r="N193" i="48" s="1"/>
  <c r="M193" i="48"/>
  <c r="M194" i="48" l="1"/>
  <c r="O194" i="48"/>
  <c r="L194" i="48"/>
  <c r="N194" i="48" s="1"/>
  <c r="B196" i="48"/>
  <c r="I195" i="48"/>
  <c r="G195" i="48"/>
  <c r="E195" i="48"/>
  <c r="K195" i="48" s="1"/>
  <c r="F195" i="48"/>
  <c r="H195" i="48" s="1"/>
  <c r="L195" i="48" l="1"/>
  <c r="O195" i="48"/>
  <c r="M195" i="48"/>
  <c r="E196" i="48"/>
  <c r="K196" i="48" s="1"/>
  <c r="I196" i="48"/>
  <c r="B197" i="48"/>
  <c r="G196" i="48"/>
  <c r="F196" i="48"/>
  <c r="H196" i="48" s="1"/>
  <c r="I197" i="48" l="1"/>
  <c r="B198" i="48"/>
  <c r="G197" i="48"/>
  <c r="F197" i="48"/>
  <c r="H197" i="48" s="1"/>
  <c r="E197" i="48"/>
  <c r="K197" i="48" s="1"/>
  <c r="M196" i="48"/>
  <c r="O196" i="48"/>
  <c r="L196" i="48"/>
  <c r="N196" i="48" s="1"/>
  <c r="N195" i="48"/>
  <c r="M197" i="48" l="1"/>
  <c r="L197" i="48"/>
  <c r="N197" i="48" s="1"/>
  <c r="O197" i="48"/>
  <c r="B199" i="48"/>
  <c r="E198" i="48"/>
  <c r="K198" i="48" s="1"/>
  <c r="I198" i="48"/>
  <c r="G198" i="48"/>
  <c r="F198" i="48"/>
  <c r="H198" i="48" s="1"/>
  <c r="M198" i="48" l="1"/>
  <c r="O198" i="48"/>
  <c r="L198" i="48"/>
  <c r="N198" i="48" s="1"/>
  <c r="G199" i="48"/>
  <c r="F199" i="48"/>
  <c r="H199" i="48" s="1"/>
  <c r="E199" i="48"/>
  <c r="K199" i="48" s="1"/>
  <c r="I199" i="48"/>
  <c r="B200" i="48"/>
  <c r="O199" i="48" l="1"/>
  <c r="M199" i="48"/>
  <c r="L199" i="48"/>
  <c r="N199" i="48" s="1"/>
  <c r="E200" i="48"/>
  <c r="K200" i="48" s="1"/>
  <c r="F200" i="48"/>
  <c r="H200" i="48" s="1"/>
  <c r="I200" i="48"/>
  <c r="G200" i="48"/>
  <c r="B201" i="48"/>
  <c r="G201" i="48" l="1"/>
  <c r="E201" i="48"/>
  <c r="K201" i="48" s="1"/>
  <c r="B202" i="48"/>
  <c r="F201" i="48"/>
  <c r="H201" i="48" s="1"/>
  <c r="I201" i="48"/>
  <c r="M200" i="48"/>
  <c r="O200" i="48"/>
  <c r="L200" i="48"/>
  <c r="N200" i="48" s="1"/>
  <c r="G202" i="48" l="1"/>
  <c r="E202" i="48"/>
  <c r="K202" i="48" s="1"/>
  <c r="F202" i="48"/>
  <c r="H202" i="48" s="1"/>
  <c r="I202" i="48"/>
  <c r="B203" i="48"/>
  <c r="L201" i="48"/>
  <c r="O201" i="48"/>
  <c r="M201" i="48"/>
  <c r="E203" i="48" l="1"/>
  <c r="K203" i="48" s="1"/>
  <c r="F203" i="48"/>
  <c r="G203" i="48"/>
  <c r="B204" i="48"/>
  <c r="I203" i="48"/>
  <c r="L202" i="48"/>
  <c r="O202" i="48"/>
  <c r="M202" i="48"/>
  <c r="N201" i="48"/>
  <c r="N202" i="48" l="1"/>
  <c r="I204" i="48"/>
  <c r="F204" i="48"/>
  <c r="H204" i="48" s="1"/>
  <c r="G204" i="48"/>
  <c r="E204" i="48"/>
  <c r="K204" i="48" s="1"/>
  <c r="B205" i="48"/>
  <c r="H203" i="48"/>
  <c r="M203" i="48"/>
  <c r="O203" i="48"/>
  <c r="L203" i="48"/>
  <c r="N203" i="48" s="1"/>
  <c r="M204" i="48" l="1"/>
  <c r="L204" i="48"/>
  <c r="N204" i="48" s="1"/>
  <c r="O204" i="48"/>
  <c r="B206" i="48"/>
  <c r="I205" i="48"/>
  <c r="G205" i="48"/>
  <c r="E205" i="48"/>
  <c r="K205" i="48" s="1"/>
  <c r="F205" i="48"/>
  <c r="H205" i="48" s="1"/>
  <c r="B207" i="48" l="1"/>
  <c r="F206" i="48"/>
  <c r="G206" i="48"/>
  <c r="E206" i="48"/>
  <c r="K206" i="48" s="1"/>
  <c r="I206" i="48"/>
  <c r="L205" i="48"/>
  <c r="O205" i="48"/>
  <c r="M205" i="48"/>
  <c r="N205" i="48" l="1"/>
  <c r="M206" i="48"/>
  <c r="L206" i="48"/>
  <c r="N206" i="48" s="1"/>
  <c r="O206" i="48"/>
  <c r="H206" i="48"/>
  <c r="I207" i="48"/>
  <c r="F207" i="48"/>
  <c r="B208" i="48"/>
  <c r="G207" i="48"/>
  <c r="E207" i="48"/>
  <c r="K207" i="48" s="1"/>
  <c r="H207" i="48" l="1"/>
  <c r="F208" i="48"/>
  <c r="G208" i="48"/>
  <c r="E208" i="48"/>
  <c r="K208" i="48" s="1"/>
  <c r="I208" i="48"/>
  <c r="B209" i="48"/>
  <c r="O207" i="48"/>
  <c r="M207" i="48"/>
  <c r="L207" i="48"/>
  <c r="O208" i="48" l="1"/>
  <c r="M208" i="48"/>
  <c r="L208" i="48"/>
  <c r="N208" i="48" s="1"/>
  <c r="H208" i="48"/>
  <c r="N207" i="48"/>
  <c r="I209" i="48"/>
  <c r="G209" i="48"/>
  <c r="F209" i="48"/>
  <c r="H209" i="48" s="1"/>
  <c r="E209" i="48"/>
  <c r="K209" i="48" s="1"/>
  <c r="B210" i="48"/>
  <c r="B211" i="48" l="1"/>
  <c r="F210" i="48"/>
  <c r="G210" i="48"/>
  <c r="E210" i="48"/>
  <c r="K210" i="48" s="1"/>
  <c r="I210" i="48"/>
  <c r="O209" i="48"/>
  <c r="L209" i="48"/>
  <c r="M209" i="48"/>
  <c r="N209" i="48" l="1"/>
  <c r="M210" i="48"/>
  <c r="L210" i="48"/>
  <c r="N210" i="48" s="1"/>
  <c r="O210" i="48"/>
  <c r="H210" i="48"/>
  <c r="I211" i="48"/>
  <c r="E211" i="48"/>
  <c r="K211" i="48" s="1"/>
  <c r="B212" i="48"/>
  <c r="G211" i="48"/>
  <c r="F211" i="48"/>
  <c r="H211" i="48" l="1"/>
  <c r="L211" i="48"/>
  <c r="M211" i="48"/>
  <c r="O211" i="48"/>
  <c r="I212" i="48"/>
  <c r="G212" i="48"/>
  <c r="E212" i="48"/>
  <c r="K212" i="48" s="1"/>
  <c r="F212" i="48"/>
  <c r="B213" i="48"/>
  <c r="H212" i="48" l="1"/>
  <c r="G213" i="48"/>
  <c r="I213" i="48"/>
  <c r="E213" i="48"/>
  <c r="K213" i="48" s="1"/>
  <c r="F213" i="48"/>
  <c r="H213" i="48" s="1"/>
  <c r="B214" i="48"/>
  <c r="O212" i="48"/>
  <c r="L212" i="48"/>
  <c r="M212" i="48"/>
  <c r="N211" i="48"/>
  <c r="B215" i="48" l="1"/>
  <c r="E214" i="48"/>
  <c r="K214" i="48" s="1"/>
  <c r="F214" i="48"/>
  <c r="H214" i="48" s="1"/>
  <c r="G214" i="48"/>
  <c r="I214" i="48"/>
  <c r="L213" i="48"/>
  <c r="M213" i="48"/>
  <c r="O213" i="48"/>
  <c r="N212" i="48"/>
  <c r="N213" i="48" l="1"/>
  <c r="O214" i="48"/>
  <c r="L214" i="48"/>
  <c r="M214" i="48"/>
  <c r="E215" i="48"/>
  <c r="K215" i="48" s="1"/>
  <c r="I215" i="48"/>
  <c r="B216" i="48"/>
  <c r="G215" i="48"/>
  <c r="F215" i="48"/>
  <c r="H215" i="48" s="1"/>
  <c r="L215" i="48" l="1"/>
  <c r="O215" i="48"/>
  <c r="M215" i="48"/>
  <c r="N214" i="48"/>
  <c r="E216" i="48"/>
  <c r="K216" i="48" s="1"/>
  <c r="I216" i="48"/>
  <c r="B217" i="48"/>
  <c r="G216" i="48"/>
  <c r="F216" i="48"/>
  <c r="H216" i="48" s="1"/>
  <c r="B218" i="48" l="1"/>
  <c r="F217" i="48"/>
  <c r="I217" i="48"/>
  <c r="E217" i="48"/>
  <c r="K217" i="48" s="1"/>
  <c r="G217" i="48"/>
  <c r="O216" i="48"/>
  <c r="M216" i="48"/>
  <c r="L216" i="48"/>
  <c r="N216" i="48" s="1"/>
  <c r="N215" i="48"/>
  <c r="M217" i="48" l="1"/>
  <c r="L217" i="48"/>
  <c r="N217" i="48" s="1"/>
  <c r="O217" i="48"/>
  <c r="H217" i="48"/>
  <c r="E218" i="48"/>
  <c r="K218" i="48" s="1"/>
  <c r="F218" i="48"/>
  <c r="G218" i="48"/>
  <c r="I218" i="48"/>
  <c r="B219" i="48"/>
  <c r="B220" i="48" l="1"/>
  <c r="F219" i="48"/>
  <c r="H219" i="48" s="1"/>
  <c r="I219" i="48"/>
  <c r="G219" i="48"/>
  <c r="E219" i="48"/>
  <c r="K219" i="48" s="1"/>
  <c r="H218" i="48"/>
  <c r="O218" i="48"/>
  <c r="L218" i="48"/>
  <c r="N218" i="48" s="1"/>
  <c r="M218" i="48"/>
  <c r="L219" i="48" l="1"/>
  <c r="M219" i="48"/>
  <c r="O219" i="48"/>
  <c r="E220" i="48"/>
  <c r="K220" i="48" s="1"/>
  <c r="G220" i="48"/>
  <c r="I220" i="48"/>
  <c r="B221" i="48"/>
  <c r="F220" i="48"/>
  <c r="H220" i="48" s="1"/>
  <c r="M220" i="48" l="1"/>
  <c r="O220" i="48"/>
  <c r="L220" i="48"/>
  <c r="N220" i="48" s="1"/>
  <c r="I221" i="48"/>
  <c r="F221" i="48"/>
  <c r="E221" i="48"/>
  <c r="K221" i="48" s="1"/>
  <c r="G221" i="48"/>
  <c r="B222" i="48"/>
  <c r="N219" i="48"/>
  <c r="O221" i="48" l="1"/>
  <c r="M221" i="48"/>
  <c r="L221" i="48"/>
  <c r="N221" i="48" s="1"/>
  <c r="F222" i="48"/>
  <c r="H222" i="48" s="1"/>
  <c r="G222" i="48"/>
  <c r="I222" i="48"/>
  <c r="B223" i="48"/>
  <c r="E222" i="48"/>
  <c r="K222" i="48" s="1"/>
  <c r="H221" i="48"/>
  <c r="L222" i="48" l="1"/>
  <c r="M222" i="48"/>
  <c r="O222" i="48"/>
  <c r="F223" i="48"/>
  <c r="I223" i="48"/>
  <c r="E223" i="48"/>
  <c r="K223" i="48" s="1"/>
  <c r="B224" i="48"/>
  <c r="G223" i="48"/>
  <c r="L223" i="48" l="1"/>
  <c r="O223" i="48"/>
  <c r="M223" i="48"/>
  <c r="H223" i="48"/>
  <c r="G224" i="48"/>
  <c r="E224" i="48"/>
  <c r="K224" i="48" s="1"/>
  <c r="F224" i="48"/>
  <c r="H224" i="48" s="1"/>
  <c r="B225" i="48"/>
  <c r="I224" i="48"/>
  <c r="N222" i="48"/>
  <c r="O224" i="48" l="1"/>
  <c r="M224" i="48"/>
  <c r="L224" i="48"/>
  <c r="N224" i="48" s="1"/>
  <c r="F225" i="48"/>
  <c r="E225" i="48"/>
  <c r="K225" i="48" s="1"/>
  <c r="I225" i="48"/>
  <c r="G225" i="48"/>
  <c r="B226" i="48"/>
  <c r="N223" i="48"/>
  <c r="F226" i="48" l="1"/>
  <c r="B227" i="48"/>
  <c r="I226" i="48"/>
  <c r="E226" i="48"/>
  <c r="K226" i="48" s="1"/>
  <c r="G226" i="48"/>
  <c r="O225" i="48"/>
  <c r="L225" i="48"/>
  <c r="N225" i="48" s="1"/>
  <c r="M225" i="48"/>
  <c r="H225" i="48"/>
  <c r="O226" i="48" l="1"/>
  <c r="L226" i="48"/>
  <c r="M226" i="48"/>
  <c r="G227" i="48"/>
  <c r="B228" i="48"/>
  <c r="E227" i="48"/>
  <c r="K227" i="48" s="1"/>
  <c r="F227" i="48"/>
  <c r="H227" i="48" s="1"/>
  <c r="I227" i="48"/>
  <c r="H226" i="48"/>
  <c r="B229" i="48" l="1"/>
  <c r="I228" i="48"/>
  <c r="G228" i="48"/>
  <c r="F228" i="48"/>
  <c r="H228" i="48" s="1"/>
  <c r="E228" i="48"/>
  <c r="K228" i="48" s="1"/>
  <c r="M227" i="48"/>
  <c r="O227" i="48"/>
  <c r="L227" i="48"/>
  <c r="N227" i="48" s="1"/>
  <c r="N226" i="48"/>
  <c r="L228" i="48" l="1"/>
  <c r="M228" i="48"/>
  <c r="O228" i="48"/>
  <c r="B230" i="48"/>
  <c r="I229" i="48"/>
  <c r="F229" i="48"/>
  <c r="H229" i="48" s="1"/>
  <c r="G229" i="48"/>
  <c r="E229" i="48"/>
  <c r="K229" i="48" s="1"/>
  <c r="M229" i="48" l="1"/>
  <c r="O229" i="48"/>
  <c r="L229" i="48"/>
  <c r="N229" i="48" s="1"/>
  <c r="G230" i="48"/>
  <c r="F230" i="48"/>
  <c r="H230" i="48" s="1"/>
  <c r="B231" i="48"/>
  <c r="I230" i="48"/>
  <c r="E230" i="48"/>
  <c r="K230" i="48" s="1"/>
  <c r="N228" i="48"/>
  <c r="B232" i="48" l="1"/>
  <c r="F231" i="48"/>
  <c r="G231" i="48"/>
  <c r="E231" i="48"/>
  <c r="K231" i="48" s="1"/>
  <c r="I231" i="48"/>
  <c r="O230" i="48"/>
  <c r="L230" i="48"/>
  <c r="N230" i="48" s="1"/>
  <c r="M230" i="48"/>
  <c r="L231" i="48" l="1"/>
  <c r="M231" i="48"/>
  <c r="O231" i="48"/>
  <c r="H231" i="48"/>
  <c r="I232" i="48"/>
  <c r="F232" i="48"/>
  <c r="E232" i="48"/>
  <c r="K232" i="48" s="1"/>
  <c r="B233" i="48"/>
  <c r="G232" i="48"/>
  <c r="L232" i="48" l="1"/>
  <c r="O232" i="48"/>
  <c r="M232" i="48"/>
  <c r="G233" i="48"/>
  <c r="I233" i="48"/>
  <c r="F233" i="48"/>
  <c r="H233" i="48" s="1"/>
  <c r="E233" i="48"/>
  <c r="K233" i="48" s="1"/>
  <c r="B234" i="48"/>
  <c r="H232" i="48"/>
  <c r="N231" i="48"/>
  <c r="B235" i="48" l="1"/>
  <c r="I234" i="48"/>
  <c r="F234" i="48"/>
  <c r="H234" i="48" s="1"/>
  <c r="G234" i="48"/>
  <c r="E234" i="48"/>
  <c r="K234" i="48" s="1"/>
  <c r="L233" i="48"/>
  <c r="M233" i="48"/>
  <c r="O233" i="48"/>
  <c r="N232" i="48"/>
  <c r="L234" i="48" l="1"/>
  <c r="O234" i="48"/>
  <c r="M234" i="48"/>
  <c r="N233" i="48"/>
  <c r="B236" i="48"/>
  <c r="G235" i="48"/>
  <c r="F235" i="48"/>
  <c r="H235" i="48" s="1"/>
  <c r="E235" i="48"/>
  <c r="K235" i="48" s="1"/>
  <c r="I235" i="48"/>
  <c r="L235" i="48" l="1"/>
  <c r="O235" i="48"/>
  <c r="M235" i="48"/>
  <c r="G236" i="48"/>
  <c r="E236" i="48"/>
  <c r="K236" i="48" s="1"/>
  <c r="I236" i="48"/>
  <c r="B237" i="48"/>
  <c r="F236" i="48"/>
  <c r="H236" i="48" s="1"/>
  <c r="N234" i="48"/>
  <c r="L236" i="48" l="1"/>
  <c r="M236" i="48"/>
  <c r="O236" i="48"/>
  <c r="B238" i="48"/>
  <c r="I237" i="48"/>
  <c r="E237" i="48"/>
  <c r="K237" i="48" s="1"/>
  <c r="F237" i="48"/>
  <c r="G237" i="48"/>
  <c r="N235" i="48"/>
  <c r="L237" i="48" l="1"/>
  <c r="M237" i="48"/>
  <c r="O237" i="48"/>
  <c r="B239" i="48"/>
  <c r="G238" i="48"/>
  <c r="I238" i="48"/>
  <c r="F238" i="48"/>
  <c r="H238" i="48" s="1"/>
  <c r="E238" i="48"/>
  <c r="K238" i="48" s="1"/>
  <c r="H237" i="48"/>
  <c r="N236" i="48"/>
  <c r="O238" i="48" l="1"/>
  <c r="M238" i="48"/>
  <c r="L238" i="48"/>
  <c r="N238" i="48" s="1"/>
  <c r="B240" i="48"/>
  <c r="F239" i="48"/>
  <c r="H239" i="48" s="1"/>
  <c r="G239" i="48"/>
  <c r="I239" i="48"/>
  <c r="E239" i="48"/>
  <c r="K239" i="48" s="1"/>
  <c r="N237" i="48"/>
  <c r="L239" i="48" l="1"/>
  <c r="M239" i="48"/>
  <c r="O239" i="48"/>
  <c r="B241" i="48"/>
  <c r="F240" i="48"/>
  <c r="H240" i="48" s="1"/>
  <c r="I240" i="48"/>
  <c r="G240" i="48"/>
  <c r="E240" i="48"/>
  <c r="K240" i="48" s="1"/>
  <c r="M240" i="48" l="1"/>
  <c r="O240" i="48"/>
  <c r="L240" i="48"/>
  <c r="N240" i="48" s="1"/>
  <c r="B242" i="48"/>
  <c r="I241" i="48"/>
  <c r="E241" i="48"/>
  <c r="K241" i="48" s="1"/>
  <c r="F241" i="48"/>
  <c r="H241" i="48" s="1"/>
  <c r="G241" i="48"/>
  <c r="N239" i="48"/>
  <c r="M241" i="48" l="1"/>
  <c r="O241" i="48"/>
  <c r="L241" i="48"/>
  <c r="N241" i="48" s="1"/>
  <c r="F242" i="48"/>
  <c r="G242" i="48"/>
  <c r="B243" i="48"/>
  <c r="E242" i="48"/>
  <c r="K242" i="48" s="1"/>
  <c r="I242" i="48"/>
  <c r="L242" i="48" l="1"/>
  <c r="M242" i="48"/>
  <c r="O242" i="48"/>
  <c r="H242" i="48"/>
  <c r="B244" i="48"/>
  <c r="G243" i="48"/>
  <c r="F243" i="48"/>
  <c r="I243" i="48"/>
  <c r="E243" i="48"/>
  <c r="K243" i="48" s="1"/>
  <c r="M243" i="48" l="1"/>
  <c r="O243" i="48"/>
  <c r="L243" i="48"/>
  <c r="N243" i="48" s="1"/>
  <c r="H243" i="48"/>
  <c r="G244" i="48"/>
  <c r="I244" i="48"/>
  <c r="B245" i="48"/>
  <c r="F244" i="48"/>
  <c r="H244" i="48" s="1"/>
  <c r="E244" i="48"/>
  <c r="K244" i="48" s="1"/>
  <c r="N242" i="48"/>
  <c r="L244" i="48" l="1"/>
  <c r="O244" i="48"/>
  <c r="M244" i="48"/>
  <c r="B246" i="48"/>
  <c r="I245" i="48"/>
  <c r="E245" i="48"/>
  <c r="K245" i="48" s="1"/>
  <c r="F245" i="48"/>
  <c r="H245" i="48" s="1"/>
  <c r="G245" i="48"/>
  <c r="G246" i="48" l="1"/>
  <c r="I246" i="48"/>
  <c r="E246" i="48"/>
  <c r="K246" i="48" s="1"/>
  <c r="B247" i="48"/>
  <c r="F246" i="48"/>
  <c r="H246" i="48" s="1"/>
  <c r="O245" i="48"/>
  <c r="L245" i="48"/>
  <c r="N245" i="48" s="1"/>
  <c r="M245" i="48"/>
  <c r="N244" i="48"/>
  <c r="B248" i="48" l="1"/>
  <c r="E247" i="48"/>
  <c r="K247" i="48" s="1"/>
  <c r="I247" i="48"/>
  <c r="F247" i="48"/>
  <c r="H247" i="48" s="1"/>
  <c r="G247" i="48"/>
  <c r="L246" i="48"/>
  <c r="O246" i="48"/>
  <c r="M246" i="48"/>
  <c r="N246" i="48" l="1"/>
  <c r="O247" i="48"/>
  <c r="M247" i="48"/>
  <c r="L247" i="48"/>
  <c r="N247" i="48" s="1"/>
  <c r="B249" i="48"/>
  <c r="E248" i="48"/>
  <c r="K248" i="48" s="1"/>
  <c r="G248" i="48"/>
  <c r="F248" i="48"/>
  <c r="H248" i="48" s="1"/>
  <c r="I248" i="48"/>
  <c r="L248" i="48" l="1"/>
  <c r="O248" i="48"/>
  <c r="M248" i="48"/>
  <c r="I249" i="48"/>
  <c r="E249" i="48"/>
  <c r="K249" i="48" s="1"/>
  <c r="F249" i="48"/>
  <c r="H249" i="48" s="1"/>
  <c r="G249" i="48"/>
  <c r="B250" i="48"/>
  <c r="L249" i="48" l="1"/>
  <c r="M249" i="48"/>
  <c r="O249" i="48"/>
  <c r="I250" i="48"/>
  <c r="G250" i="48"/>
  <c r="E250" i="48"/>
  <c r="K250" i="48" s="1"/>
  <c r="B251" i="48"/>
  <c r="F250" i="48"/>
  <c r="H250" i="48" s="1"/>
  <c r="N248" i="48"/>
  <c r="L250" i="48" l="1"/>
  <c r="M250" i="48"/>
  <c r="O250" i="48"/>
  <c r="G251" i="48"/>
  <c r="I251" i="48"/>
  <c r="F251" i="48"/>
  <c r="H251" i="48" s="1"/>
  <c r="B252" i="48"/>
  <c r="E251" i="48"/>
  <c r="K251" i="48" s="1"/>
  <c r="N249" i="48"/>
  <c r="B253" i="48" l="1"/>
  <c r="G252" i="48"/>
  <c r="F252" i="48"/>
  <c r="H252" i="48" s="1"/>
  <c r="I252" i="48"/>
  <c r="E252" i="48"/>
  <c r="K252" i="48" s="1"/>
  <c r="O251" i="48"/>
  <c r="L251" i="48"/>
  <c r="N251" i="48" s="1"/>
  <c r="M251" i="48"/>
  <c r="N250" i="48"/>
  <c r="L252" i="48" l="1"/>
  <c r="M252" i="48"/>
  <c r="O252" i="48"/>
  <c r="G253" i="48"/>
  <c r="E253" i="48"/>
  <c r="K253" i="48" s="1"/>
  <c r="I253" i="48"/>
  <c r="F253" i="48"/>
  <c r="H253" i="48" s="1"/>
  <c r="M253" i="48" l="1"/>
  <c r="L253" i="48"/>
  <c r="N253" i="48" s="1"/>
  <c r="O253" i="48"/>
  <c r="N252" i="48"/>
  <c r="M23" i="53" l="1"/>
  <c r="M30" i="53" s="1"/>
  <c r="L23" i="53" l="1"/>
  <c r="L30" i="53" s="1"/>
  <c r="K23" i="53" l="1"/>
  <c r="K30" i="53" s="1"/>
  <c r="J23" i="53" l="1"/>
  <c r="J30" i="53" s="1"/>
  <c r="J31" i="53" l="1"/>
  <c r="J34" i="53" s="1"/>
  <c r="J35" i="53" s="1"/>
  <c r="L31" i="53"/>
  <c r="L34" i="53" s="1"/>
  <c r="L35" i="53" s="1"/>
  <c r="M31" i="53"/>
  <c r="M34" i="53" s="1"/>
  <c r="M35" i="53" s="1"/>
  <c r="B20" i="53"/>
  <c r="M168" i="53" l="1"/>
  <c r="M169" i="53"/>
  <c r="M36" i="53"/>
  <c r="K31" i="53"/>
  <c r="K34" i="53" s="1"/>
  <c r="K35" i="53" s="1"/>
  <c r="L168" i="53"/>
  <c r="L169" i="53"/>
  <c r="L36" i="53"/>
  <c r="J36" i="53"/>
  <c r="J49" i="53" s="1"/>
  <c r="J168" i="53"/>
  <c r="J169" i="53"/>
  <c r="J180" i="53" l="1"/>
  <c r="J181" i="53"/>
  <c r="J53" i="53"/>
  <c r="O23" i="53"/>
  <c r="N31" i="53"/>
  <c r="N34" i="53" s="1"/>
  <c r="N35" i="53" s="1"/>
  <c r="K36" i="53"/>
  <c r="K41" i="53" s="1"/>
  <c r="K168" i="53"/>
  <c r="K169" i="53"/>
  <c r="M41" i="53"/>
  <c r="F72" i="53" l="1"/>
  <c r="F83" i="53" s="1"/>
  <c r="F94" i="53" s="1"/>
  <c r="F73" i="53"/>
  <c r="F84" i="53" s="1"/>
  <c r="F95" i="53" s="1"/>
  <c r="Q30" i="53"/>
  <c r="S30" i="53"/>
  <c r="U30" i="53"/>
  <c r="W30" i="53"/>
  <c r="Y30" i="53"/>
  <c r="AA30" i="53"/>
  <c r="AC30" i="53"/>
  <c r="AE30" i="53"/>
  <c r="AG30" i="53"/>
  <c r="AI30" i="53"/>
  <c r="AK30" i="53"/>
  <c r="AM30" i="53"/>
  <c r="AO30" i="53"/>
  <c r="AQ30" i="53"/>
  <c r="AS30" i="53"/>
  <c r="AU30" i="53"/>
  <c r="P30" i="53"/>
  <c r="F78" i="53"/>
  <c r="F89" i="53" s="1"/>
  <c r="F100" i="53" s="1"/>
  <c r="F74" i="53"/>
  <c r="F85" i="53" s="1"/>
  <c r="F96" i="53" s="1"/>
  <c r="F70" i="53"/>
  <c r="F81" i="53" s="1"/>
  <c r="F92" i="53" s="1"/>
  <c r="F75" i="53"/>
  <c r="F86" i="53" s="1"/>
  <c r="F97" i="53" s="1"/>
  <c r="F71" i="53"/>
  <c r="F82" i="53" s="1"/>
  <c r="F93" i="53" s="1"/>
  <c r="R30" i="53"/>
  <c r="T30" i="53"/>
  <c r="V30" i="53"/>
  <c r="X30" i="53"/>
  <c r="Z30" i="53"/>
  <c r="AB30" i="53"/>
  <c r="AD30" i="53"/>
  <c r="AF30" i="53"/>
  <c r="AH30" i="53"/>
  <c r="AJ30" i="53"/>
  <c r="AL30" i="53"/>
  <c r="AN30" i="53"/>
  <c r="AP30" i="53"/>
  <c r="AR30" i="53"/>
  <c r="AT30" i="53"/>
  <c r="AV30" i="53"/>
  <c r="O30" i="53"/>
  <c r="N24" i="53"/>
  <c r="M24" i="53" s="1"/>
  <c r="L24" i="53" s="1"/>
  <c r="K24" i="53" s="1"/>
  <c r="J24" i="53" s="1"/>
  <c r="K46" i="53"/>
  <c r="K52" i="53" s="1"/>
  <c r="K44" i="53"/>
  <c r="K50" i="53" s="1"/>
  <c r="K45" i="53"/>
  <c r="K51" i="53" s="1"/>
  <c r="K43" i="53"/>
  <c r="K49" i="53" s="1"/>
  <c r="N169" i="53"/>
  <c r="N168" i="53"/>
  <c r="M44" i="53"/>
  <c r="M45" i="53"/>
  <c r="M43" i="53"/>
  <c r="M46" i="53"/>
  <c r="L41" i="53"/>
  <c r="N36" i="53"/>
  <c r="N41" i="53" s="1"/>
  <c r="O31" i="53"/>
  <c r="O34" i="53" s="1"/>
  <c r="P23" i="53"/>
  <c r="P24" i="53" s="1"/>
  <c r="O35" i="53" l="1"/>
  <c r="O36" i="53" s="1"/>
  <c r="O41" i="53" s="1"/>
  <c r="F98" i="53"/>
  <c r="F99" i="53"/>
  <c r="P31" i="53"/>
  <c r="P34" i="53" s="1"/>
  <c r="P35" i="53" s="1"/>
  <c r="P36" i="53" s="1"/>
  <c r="P41" i="53" s="1"/>
  <c r="Q23" i="53"/>
  <c r="O168" i="53"/>
  <c r="O169" i="53"/>
  <c r="K203" i="53"/>
  <c r="K204" i="53"/>
  <c r="K214" i="53"/>
  <c r="K215" i="53"/>
  <c r="O45" i="53"/>
  <c r="O44" i="53"/>
  <c r="O43" i="53"/>
  <c r="O46" i="53"/>
  <c r="N46" i="53"/>
  <c r="N43" i="53"/>
  <c r="N45" i="53"/>
  <c r="N44" i="53"/>
  <c r="L46" i="53"/>
  <c r="L52" i="53" s="1"/>
  <c r="L45" i="53"/>
  <c r="L51" i="53" s="1"/>
  <c r="L44" i="53"/>
  <c r="L50" i="53" s="1"/>
  <c r="M50" i="53" s="1"/>
  <c r="L43" i="53"/>
  <c r="L49" i="53" s="1"/>
  <c r="M49" i="53" s="1"/>
  <c r="K181" i="53"/>
  <c r="K180" i="53"/>
  <c r="K53" i="53"/>
  <c r="K192" i="53"/>
  <c r="K193" i="53"/>
  <c r="K226" i="53" l="1"/>
  <c r="K264" i="53" s="1"/>
  <c r="H119" i="47" s="1"/>
  <c r="K227" i="53"/>
  <c r="K265" i="53" s="1"/>
  <c r="H125" i="47" s="1"/>
  <c r="M180" i="53"/>
  <c r="M181" i="53"/>
  <c r="P46" i="53"/>
  <c r="P43" i="53"/>
  <c r="P44" i="53"/>
  <c r="P45" i="53"/>
  <c r="L192" i="53"/>
  <c r="L193" i="53"/>
  <c r="L214" i="53"/>
  <c r="L215" i="53"/>
  <c r="Q24" i="53"/>
  <c r="M52" i="53"/>
  <c r="N52" i="53" s="1"/>
  <c r="O52" i="53" s="1"/>
  <c r="M192" i="53"/>
  <c r="M193" i="53"/>
  <c r="L180" i="53"/>
  <c r="L181" i="53"/>
  <c r="L53" i="53"/>
  <c r="L204" i="53"/>
  <c r="L203" i="53"/>
  <c r="N50" i="53"/>
  <c r="O50" i="53" s="1"/>
  <c r="N49" i="53"/>
  <c r="M51" i="53"/>
  <c r="Q31" i="53"/>
  <c r="Q34" i="53" s="1"/>
  <c r="Q35" i="53" s="1"/>
  <c r="R23" i="53"/>
  <c r="P168" i="53"/>
  <c r="P169" i="53"/>
  <c r="M53" i="53" l="1"/>
  <c r="L226" i="53"/>
  <c r="L264" i="53" s="1"/>
  <c r="I119" i="47" s="1"/>
  <c r="R31" i="53"/>
  <c r="R34" i="53" s="1"/>
  <c r="R35" i="53" s="1"/>
  <c r="R36" i="53" s="1"/>
  <c r="S23" i="53"/>
  <c r="Q168" i="53"/>
  <c r="Q169" i="53"/>
  <c r="O193" i="53"/>
  <c r="P50" i="53"/>
  <c r="O192" i="53"/>
  <c r="N181" i="53"/>
  <c r="N180" i="53"/>
  <c r="R24" i="53"/>
  <c r="N214" i="53"/>
  <c r="N215" i="53"/>
  <c r="L227" i="53"/>
  <c r="L265" i="53" s="1"/>
  <c r="I125" i="47" s="1"/>
  <c r="Q36" i="53"/>
  <c r="Q41" i="53" s="1"/>
  <c r="M203" i="53"/>
  <c r="M204" i="53"/>
  <c r="O214" i="53"/>
  <c r="O215" i="53"/>
  <c r="P52" i="53"/>
  <c r="N192" i="53"/>
  <c r="N193" i="53"/>
  <c r="M215" i="53"/>
  <c r="M227" i="53" s="1"/>
  <c r="M265" i="53" s="1"/>
  <c r="J125" i="47" s="1"/>
  <c r="M214" i="53"/>
  <c r="O49" i="53"/>
  <c r="N51" i="53"/>
  <c r="S24" i="53" l="1"/>
  <c r="M226" i="53"/>
  <c r="M264" i="53" s="1"/>
  <c r="J119" i="47" s="1"/>
  <c r="O181" i="53"/>
  <c r="P49" i="53"/>
  <c r="O180" i="53"/>
  <c r="P215" i="53"/>
  <c r="P214" i="53"/>
  <c r="R41" i="53"/>
  <c r="N204" i="53"/>
  <c r="N227" i="53" s="1"/>
  <c r="N265" i="53" s="1"/>
  <c r="K125" i="47" s="1"/>
  <c r="N203" i="53"/>
  <c r="N226" i="53" s="1"/>
  <c r="N264" i="53" s="1"/>
  <c r="K119" i="47" s="1"/>
  <c r="O51" i="53"/>
  <c r="Q46" i="53"/>
  <c r="Q52" i="53" s="1"/>
  <c r="Q44" i="53"/>
  <c r="Q50" i="53" s="1"/>
  <c r="Q43" i="53"/>
  <c r="Q45" i="53"/>
  <c r="N53" i="53"/>
  <c r="P192" i="53"/>
  <c r="P193" i="53"/>
  <c r="S31" i="53"/>
  <c r="S34" i="53" s="1"/>
  <c r="S35" i="53" s="1"/>
  <c r="S36" i="53" s="1"/>
  <c r="S41" i="53" s="1"/>
  <c r="T23" i="53"/>
  <c r="R169" i="53"/>
  <c r="R168" i="53"/>
  <c r="T24" i="53" l="1"/>
  <c r="Q215" i="53"/>
  <c r="Q214" i="53"/>
  <c r="T31" i="53"/>
  <c r="T34" i="53" s="1"/>
  <c r="T35" i="53" s="1"/>
  <c r="T36" i="53" s="1"/>
  <c r="T41" i="53" s="1"/>
  <c r="U23" i="53"/>
  <c r="S169" i="53"/>
  <c r="S168" i="53"/>
  <c r="P51" i="53"/>
  <c r="O204" i="53"/>
  <c r="O227" i="53" s="1"/>
  <c r="O265" i="53" s="1"/>
  <c r="L125" i="47" s="1"/>
  <c r="O203" i="53"/>
  <c r="O226" i="53" s="1"/>
  <c r="O264" i="53" s="1"/>
  <c r="L119" i="47" s="1"/>
  <c r="P180" i="53"/>
  <c r="P53" i="53"/>
  <c r="Q49" i="53"/>
  <c r="P181" i="53"/>
  <c r="S45" i="53"/>
  <c r="S46" i="53"/>
  <c r="S43" i="53"/>
  <c r="S44" i="53"/>
  <c r="Q193" i="53"/>
  <c r="Q192" i="53"/>
  <c r="U24" i="53"/>
  <c r="R43" i="53"/>
  <c r="R45" i="53"/>
  <c r="R46" i="53"/>
  <c r="R52" i="53" s="1"/>
  <c r="R44" i="53"/>
  <c r="R50" i="53" s="1"/>
  <c r="O53" i="53"/>
  <c r="R49" i="53" l="1"/>
  <c r="R180" i="53" s="1"/>
  <c r="R192" i="53"/>
  <c r="R193" i="53"/>
  <c r="S50" i="53"/>
  <c r="R214" i="53"/>
  <c r="S52" i="53"/>
  <c r="R215" i="53"/>
  <c r="P203" i="53"/>
  <c r="P226" i="53" s="1"/>
  <c r="P264" i="53" s="1"/>
  <c r="M119" i="47" s="1"/>
  <c r="P204" i="53"/>
  <c r="P227" i="53" s="1"/>
  <c r="P265" i="53" s="1"/>
  <c r="M125" i="47" s="1"/>
  <c r="Q51" i="53"/>
  <c r="Q53" i="53" s="1"/>
  <c r="U31" i="53"/>
  <c r="U34" i="53" s="1"/>
  <c r="U35" i="53" s="1"/>
  <c r="U36" i="53" s="1"/>
  <c r="U41" i="53" s="1"/>
  <c r="V23" i="53"/>
  <c r="T169" i="53"/>
  <c r="T168" i="53"/>
  <c r="Q180" i="53"/>
  <c r="Q181" i="53"/>
  <c r="T44" i="53"/>
  <c r="T45" i="53"/>
  <c r="T43" i="53"/>
  <c r="T46" i="53"/>
  <c r="F62" i="53"/>
  <c r="D62" i="53" s="1"/>
  <c r="E98" i="53" s="1"/>
  <c r="S49" i="53" l="1"/>
  <c r="T49" i="53" s="1"/>
  <c r="T181" i="53" s="1"/>
  <c r="R181" i="53"/>
  <c r="V31" i="53"/>
  <c r="V34" i="53" s="1"/>
  <c r="V35" i="53" s="1"/>
  <c r="W23" i="53"/>
  <c r="U169" i="53"/>
  <c r="U168" i="53"/>
  <c r="S181" i="53"/>
  <c r="V24" i="53"/>
  <c r="U43" i="53"/>
  <c r="U44" i="53"/>
  <c r="U45" i="53"/>
  <c r="U46" i="53"/>
  <c r="Q204" i="53"/>
  <c r="Q227" i="53" s="1"/>
  <c r="Q265" i="53" s="1"/>
  <c r="N125" i="47" s="1"/>
  <c r="R51" i="53"/>
  <c r="Q203" i="53"/>
  <c r="Q226" i="53" s="1"/>
  <c r="Q264" i="53" s="1"/>
  <c r="N119" i="47" s="1"/>
  <c r="S214" i="53"/>
  <c r="T52" i="53"/>
  <c r="S215" i="53"/>
  <c r="S192" i="53"/>
  <c r="S193" i="53"/>
  <c r="T50" i="53"/>
  <c r="F64" i="53"/>
  <c r="D64" i="53" s="1"/>
  <c r="E78" i="53" s="1"/>
  <c r="F60" i="53"/>
  <c r="D60" i="53" s="1"/>
  <c r="E74" i="53" s="1"/>
  <c r="F63" i="53"/>
  <c r="D63" i="53" s="1"/>
  <c r="E99" i="53" s="1"/>
  <c r="F58" i="53"/>
  <c r="D58" i="53" s="1"/>
  <c r="E72" i="53" s="1"/>
  <c r="J98" i="53"/>
  <c r="J157" i="53" s="1"/>
  <c r="J239" i="53" s="1"/>
  <c r="J254" i="53" s="1"/>
  <c r="G110" i="47" s="1"/>
  <c r="F61" i="53"/>
  <c r="D61" i="53" s="1"/>
  <c r="E75" i="53" s="1"/>
  <c r="F57" i="53"/>
  <c r="D57" i="53" s="1"/>
  <c r="E71" i="53" s="1"/>
  <c r="U49" i="53" l="1"/>
  <c r="S180" i="53"/>
  <c r="T180" i="53"/>
  <c r="U180" i="53"/>
  <c r="U181" i="53"/>
  <c r="W31" i="53"/>
  <c r="W34" i="53" s="1"/>
  <c r="W35" i="53" s="1"/>
  <c r="W36" i="53" s="1"/>
  <c r="X23" i="53"/>
  <c r="V168" i="53"/>
  <c r="V169" i="53"/>
  <c r="T192" i="53"/>
  <c r="T193" i="53"/>
  <c r="U50" i="53"/>
  <c r="T215" i="53"/>
  <c r="U52" i="53"/>
  <c r="T214" i="53"/>
  <c r="R204" i="53"/>
  <c r="R227" i="53" s="1"/>
  <c r="R265" i="53" s="1"/>
  <c r="O125" i="47" s="1"/>
  <c r="R203" i="53"/>
  <c r="R226" i="53" s="1"/>
  <c r="R264" i="53" s="1"/>
  <c r="O119" i="47" s="1"/>
  <c r="S51" i="53"/>
  <c r="R53" i="53"/>
  <c r="W24" i="53"/>
  <c r="X24" i="53" s="1"/>
  <c r="V36" i="53"/>
  <c r="V41" i="53" s="1"/>
  <c r="J71" i="53"/>
  <c r="J163" i="53" s="1"/>
  <c r="E82" i="53"/>
  <c r="E86" i="53"/>
  <c r="J75" i="53"/>
  <c r="J167" i="53" s="1"/>
  <c r="E83" i="53"/>
  <c r="J72" i="53"/>
  <c r="J164" i="53" s="1"/>
  <c r="J99" i="53"/>
  <c r="J158" i="53" s="1"/>
  <c r="J240" i="53" s="1"/>
  <c r="J255" i="53" s="1"/>
  <c r="G116" i="47" s="1"/>
  <c r="E85" i="53"/>
  <c r="J74" i="53"/>
  <c r="E89" i="53"/>
  <c r="J78" i="53"/>
  <c r="J170" i="53" s="1"/>
  <c r="F56" i="53"/>
  <c r="D56" i="53" s="1"/>
  <c r="E70" i="53" s="1"/>
  <c r="F59" i="53"/>
  <c r="D59" i="53" s="1"/>
  <c r="E73" i="53" s="1"/>
  <c r="K98" i="53"/>
  <c r="K157" i="53" s="1"/>
  <c r="K239" i="53" s="1"/>
  <c r="K254" i="53" s="1"/>
  <c r="H110" i="47" s="1"/>
  <c r="G98" i="53"/>
  <c r="W41" i="53" l="1"/>
  <c r="W43" i="53" s="1"/>
  <c r="L98" i="53"/>
  <c r="U192" i="53"/>
  <c r="U193" i="53"/>
  <c r="V46" i="53"/>
  <c r="V52" i="53" s="1"/>
  <c r="V43" i="53"/>
  <c r="V49" i="53" s="1"/>
  <c r="V45" i="53"/>
  <c r="V44" i="53"/>
  <c r="V50" i="53" s="1"/>
  <c r="S203" i="53"/>
  <c r="S226" i="53" s="1"/>
  <c r="S264" i="53" s="1"/>
  <c r="P119" i="47" s="1"/>
  <c r="S204" i="53"/>
  <c r="S227" i="53" s="1"/>
  <c r="S265" i="53" s="1"/>
  <c r="P125" i="47" s="1"/>
  <c r="T51" i="53"/>
  <c r="S53" i="53"/>
  <c r="U214" i="53"/>
  <c r="U215" i="53"/>
  <c r="X31" i="53"/>
  <c r="X34" i="53" s="1"/>
  <c r="X35" i="53" s="1"/>
  <c r="X36" i="53" s="1"/>
  <c r="X41" i="53" s="1"/>
  <c r="Y23" i="53"/>
  <c r="W169" i="53"/>
  <c r="W168" i="53"/>
  <c r="K74" i="53"/>
  <c r="J166" i="53"/>
  <c r="G74" i="53"/>
  <c r="G99" i="53"/>
  <c r="K99" i="53"/>
  <c r="K158" i="53" s="1"/>
  <c r="K240" i="53" s="1"/>
  <c r="K255" i="53" s="1"/>
  <c r="H116" i="47" s="1"/>
  <c r="G72" i="53"/>
  <c r="K72" i="53"/>
  <c r="E97" i="53"/>
  <c r="J86" i="53"/>
  <c r="G71" i="53"/>
  <c r="K71" i="53"/>
  <c r="H98" i="53"/>
  <c r="R98" i="53"/>
  <c r="R157" i="53" s="1"/>
  <c r="R239" i="53" s="1"/>
  <c r="R254" i="53" s="1"/>
  <c r="O110" i="47" s="1"/>
  <c r="E84" i="53"/>
  <c r="J73" i="53"/>
  <c r="J165" i="53" s="1"/>
  <c r="J70" i="53"/>
  <c r="J162" i="53" s="1"/>
  <c r="E81" i="53"/>
  <c r="K78" i="53"/>
  <c r="K170" i="53" s="1"/>
  <c r="G78" i="53"/>
  <c r="J89" i="53"/>
  <c r="E100" i="53"/>
  <c r="E96" i="53"/>
  <c r="J85" i="53"/>
  <c r="E94" i="53"/>
  <c r="J83" i="53"/>
  <c r="G75" i="53"/>
  <c r="K75" i="53"/>
  <c r="K167" i="53" s="1"/>
  <c r="E93" i="53"/>
  <c r="J82" i="53"/>
  <c r="L78" i="53" l="1"/>
  <c r="L170" i="53" s="1"/>
  <c r="L75" i="53"/>
  <c r="L167" i="53" s="1"/>
  <c r="M78" i="53"/>
  <c r="M170" i="53" s="1"/>
  <c r="L157" i="53"/>
  <c r="L239" i="53" s="1"/>
  <c r="L254" i="53" s="1"/>
  <c r="I110" i="47" s="1"/>
  <c r="M98" i="53"/>
  <c r="W44" i="53"/>
  <c r="W45" i="53"/>
  <c r="W46" i="53"/>
  <c r="W52" i="53" s="1"/>
  <c r="V193" i="53"/>
  <c r="W50" i="53"/>
  <c r="V192" i="53"/>
  <c r="Y31" i="53"/>
  <c r="Y34" i="53" s="1"/>
  <c r="Y35" i="53" s="1"/>
  <c r="Y36" i="53" s="1"/>
  <c r="Y41" i="53" s="1"/>
  <c r="Z23" i="53"/>
  <c r="X169" i="53"/>
  <c r="X168" i="53"/>
  <c r="V214" i="53"/>
  <c r="V215" i="53"/>
  <c r="V181" i="53"/>
  <c r="V180" i="53"/>
  <c r="X45" i="53"/>
  <c r="X43" i="53"/>
  <c r="X46" i="53"/>
  <c r="X44" i="53"/>
  <c r="T204" i="53"/>
  <c r="T227" i="53" s="1"/>
  <c r="T265" i="53" s="1"/>
  <c r="Q125" i="47" s="1"/>
  <c r="T203" i="53"/>
  <c r="T226" i="53" s="1"/>
  <c r="T264" i="53" s="1"/>
  <c r="Q119" i="47" s="1"/>
  <c r="U51" i="53"/>
  <c r="T53" i="53"/>
  <c r="Y24" i="53"/>
  <c r="Z24" i="53" s="1"/>
  <c r="W49" i="53"/>
  <c r="G82" i="53"/>
  <c r="K82" i="53"/>
  <c r="J93" i="53"/>
  <c r="J152" i="53" s="1"/>
  <c r="H75" i="53"/>
  <c r="R75" i="53"/>
  <c r="R167" i="53" s="1"/>
  <c r="G83" i="53"/>
  <c r="K83" i="53"/>
  <c r="G85" i="53"/>
  <c r="K85" i="53"/>
  <c r="L85" i="53" s="1"/>
  <c r="M85" i="53" s="1"/>
  <c r="J100" i="53"/>
  <c r="J159" i="53" s="1"/>
  <c r="G89" i="53"/>
  <c r="K89" i="53"/>
  <c r="G73" i="53"/>
  <c r="K73" i="53"/>
  <c r="E95" i="53"/>
  <c r="J84" i="53"/>
  <c r="H71" i="53"/>
  <c r="R71" i="53"/>
  <c r="R163" i="53" s="1"/>
  <c r="J179" i="53"/>
  <c r="J202" i="53"/>
  <c r="J191" i="53"/>
  <c r="J213" i="53"/>
  <c r="L72" i="53"/>
  <c r="K164" i="53"/>
  <c r="L99" i="53"/>
  <c r="J175" i="53"/>
  <c r="J198" i="53"/>
  <c r="J209" i="53"/>
  <c r="J187" i="53"/>
  <c r="J199" i="53"/>
  <c r="J176" i="53"/>
  <c r="J210" i="53"/>
  <c r="J188" i="53"/>
  <c r="J94" i="53"/>
  <c r="J153" i="53" s="1"/>
  <c r="J178" i="53"/>
  <c r="J190" i="53"/>
  <c r="J201" i="53"/>
  <c r="J212" i="53"/>
  <c r="J96" i="53"/>
  <c r="J155" i="53" s="1"/>
  <c r="J182" i="53"/>
  <c r="J194" i="53"/>
  <c r="J205" i="53"/>
  <c r="J216" i="53"/>
  <c r="H78" i="53"/>
  <c r="R78" i="53"/>
  <c r="E92" i="53"/>
  <c r="J81" i="53"/>
  <c r="G70" i="53"/>
  <c r="K70" i="53"/>
  <c r="I98" i="53"/>
  <c r="S98" i="53"/>
  <c r="AB98" i="53"/>
  <c r="L71" i="53"/>
  <c r="K163" i="53"/>
  <c r="G86" i="53"/>
  <c r="K86" i="53"/>
  <c r="J97" i="53"/>
  <c r="J156" i="53" s="1"/>
  <c r="H72" i="53"/>
  <c r="R72" i="53"/>
  <c r="R164" i="53" s="1"/>
  <c r="H99" i="53"/>
  <c r="R99" i="53"/>
  <c r="R158" i="53" s="1"/>
  <c r="R240" i="53" s="1"/>
  <c r="R255" i="53" s="1"/>
  <c r="O116" i="47" s="1"/>
  <c r="H74" i="53"/>
  <c r="R74" i="53"/>
  <c r="L74" i="53"/>
  <c r="K166" i="53"/>
  <c r="N78" i="53" l="1"/>
  <c r="M75" i="53"/>
  <c r="L158" i="53"/>
  <c r="L240" i="53" s="1"/>
  <c r="L255" i="53" s="1"/>
  <c r="I116" i="47" s="1"/>
  <c r="M99" i="53"/>
  <c r="L164" i="53"/>
  <c r="M72" i="53"/>
  <c r="L166" i="53"/>
  <c r="M74" i="53"/>
  <c r="L163" i="53"/>
  <c r="M71" i="53"/>
  <c r="N98" i="53"/>
  <c r="M157" i="53"/>
  <c r="M239" i="53" s="1"/>
  <c r="M254" i="53" s="1"/>
  <c r="J110" i="47" s="1"/>
  <c r="J234" i="53"/>
  <c r="J249" i="53" s="1"/>
  <c r="G111" i="47" s="1"/>
  <c r="O75" i="53"/>
  <c r="O167" i="53" s="1"/>
  <c r="X50" i="53"/>
  <c r="X193" i="53" s="1"/>
  <c r="J237" i="53"/>
  <c r="J252" i="53" s="1"/>
  <c r="G115" i="47" s="1"/>
  <c r="W180" i="53"/>
  <c r="W181" i="53"/>
  <c r="X49" i="53"/>
  <c r="W215" i="53"/>
  <c r="W214" i="53"/>
  <c r="X52" i="53"/>
  <c r="Z31" i="53"/>
  <c r="Z34" i="53" s="1"/>
  <c r="Z35" i="53" s="1"/>
  <c r="Z36" i="53" s="1"/>
  <c r="Z41" i="53" s="1"/>
  <c r="AA23" i="53"/>
  <c r="AA24" i="53" s="1"/>
  <c r="Y169" i="53"/>
  <c r="Y168" i="53"/>
  <c r="W193" i="53"/>
  <c r="W192" i="53"/>
  <c r="P75" i="53"/>
  <c r="P167" i="53" s="1"/>
  <c r="U204" i="53"/>
  <c r="U227" i="53" s="1"/>
  <c r="U265" i="53" s="1"/>
  <c r="R125" i="47" s="1"/>
  <c r="U203" i="53"/>
  <c r="U226" i="53" s="1"/>
  <c r="U264" i="53" s="1"/>
  <c r="R119" i="47" s="1"/>
  <c r="V51" i="53"/>
  <c r="U53" i="53"/>
  <c r="Y44" i="53"/>
  <c r="Y46" i="53"/>
  <c r="Y45" i="53"/>
  <c r="Y43" i="53"/>
  <c r="L178" i="53"/>
  <c r="L212" i="53"/>
  <c r="L190" i="53"/>
  <c r="L201" i="53"/>
  <c r="I99" i="53"/>
  <c r="S99" i="53"/>
  <c r="AB99" i="53"/>
  <c r="I72" i="53"/>
  <c r="S72" i="53"/>
  <c r="AB72" i="53"/>
  <c r="L86" i="53"/>
  <c r="M86" i="53" s="1"/>
  <c r="N86" i="53" s="1"/>
  <c r="K191" i="53"/>
  <c r="K213" i="53"/>
  <c r="K202" i="53"/>
  <c r="K179" i="53"/>
  <c r="AC98" i="53"/>
  <c r="AV98" i="53"/>
  <c r="H70" i="53"/>
  <c r="R70" i="53"/>
  <c r="R162" i="53" s="1"/>
  <c r="J92" i="53"/>
  <c r="J151" i="53" s="1"/>
  <c r="S78" i="53"/>
  <c r="S170" i="53" s="1"/>
  <c r="R170" i="53"/>
  <c r="I78" i="53"/>
  <c r="AB78" i="53"/>
  <c r="G94" i="53"/>
  <c r="K94" i="53"/>
  <c r="K153" i="53" s="1"/>
  <c r="J225" i="53"/>
  <c r="J263" i="53" s="1"/>
  <c r="G126" i="47" s="1"/>
  <c r="J238" i="53"/>
  <c r="J253" i="53" s="1"/>
  <c r="G117" i="47" s="1"/>
  <c r="I71" i="53"/>
  <c r="S71" i="53"/>
  <c r="AB71" i="53"/>
  <c r="J200" i="53"/>
  <c r="J211" i="53"/>
  <c r="J177" i="53"/>
  <c r="J189" i="53"/>
  <c r="J95" i="53"/>
  <c r="J154" i="53" s="1"/>
  <c r="L73" i="53"/>
  <c r="K165" i="53"/>
  <c r="K182" i="53"/>
  <c r="K205" i="53"/>
  <c r="K194" i="53"/>
  <c r="K216" i="53"/>
  <c r="J241" i="53"/>
  <c r="J256" i="53" s="1"/>
  <c r="G114" i="47" s="1"/>
  <c r="N85" i="53"/>
  <c r="M201" i="53"/>
  <c r="M212" i="53"/>
  <c r="M178" i="53"/>
  <c r="M190" i="53"/>
  <c r="H83" i="53"/>
  <c r="R83" i="53"/>
  <c r="I75" i="53"/>
  <c r="S75" i="53"/>
  <c r="AB75" i="53"/>
  <c r="L82" i="53"/>
  <c r="M82" i="53" s="1"/>
  <c r="N82" i="53" s="1"/>
  <c r="O82" i="53" s="1"/>
  <c r="P82" i="53" s="1"/>
  <c r="K198" i="53"/>
  <c r="K209" i="53"/>
  <c r="K187" i="53"/>
  <c r="K175" i="53"/>
  <c r="S74" i="53"/>
  <c r="S166" i="53" s="1"/>
  <c r="R166" i="53"/>
  <c r="I74" i="53"/>
  <c r="AB74" i="53"/>
  <c r="G97" i="53"/>
  <c r="K97" i="53"/>
  <c r="K156" i="53" s="1"/>
  <c r="H86" i="53"/>
  <c r="R86" i="53"/>
  <c r="T98" i="53"/>
  <c r="S157" i="53"/>
  <c r="S239" i="53" s="1"/>
  <c r="S254" i="53" s="1"/>
  <c r="P110" i="47" s="1"/>
  <c r="L70" i="53"/>
  <c r="K162" i="53"/>
  <c r="J174" i="53"/>
  <c r="J186" i="53"/>
  <c r="J197" i="53"/>
  <c r="J208" i="53"/>
  <c r="G81" i="53"/>
  <c r="K81" i="53"/>
  <c r="L81" i="53" s="1"/>
  <c r="M81" i="53" s="1"/>
  <c r="O78" i="53"/>
  <c r="N170" i="53"/>
  <c r="J228" i="53"/>
  <c r="J266" i="53" s="1"/>
  <c r="G123" i="47" s="1"/>
  <c r="K96" i="53"/>
  <c r="K155" i="53" s="1"/>
  <c r="G96" i="53"/>
  <c r="J224" i="53"/>
  <c r="J262" i="53" s="1"/>
  <c r="G124" i="47" s="1"/>
  <c r="J222" i="53"/>
  <c r="J260" i="53" s="1"/>
  <c r="G121" i="47" s="1"/>
  <c r="J235" i="53"/>
  <c r="J250" i="53" s="1"/>
  <c r="G112" i="47" s="1"/>
  <c r="J221" i="53"/>
  <c r="J259" i="53" s="1"/>
  <c r="G120" i="47" s="1"/>
  <c r="G84" i="53"/>
  <c r="K84" i="53"/>
  <c r="H73" i="53"/>
  <c r="R73" i="53"/>
  <c r="R165" i="53" s="1"/>
  <c r="L89" i="53"/>
  <c r="M89" i="53" s="1"/>
  <c r="N89" i="53" s="1"/>
  <c r="O89" i="53" s="1"/>
  <c r="P89" i="53" s="1"/>
  <c r="H89" i="53"/>
  <c r="R89" i="53"/>
  <c r="G100" i="53"/>
  <c r="K100" i="53"/>
  <c r="K159" i="53" s="1"/>
  <c r="K190" i="53"/>
  <c r="K212" i="53"/>
  <c r="K201" i="53"/>
  <c r="K178" i="53"/>
  <c r="H85" i="53"/>
  <c r="O85" i="53"/>
  <c r="P85" i="53" s="1"/>
  <c r="Q85" i="53" s="1"/>
  <c r="R85" i="53"/>
  <c r="L83" i="53"/>
  <c r="M83" i="53" s="1"/>
  <c r="M210" i="53" s="1"/>
  <c r="K210" i="53"/>
  <c r="K176" i="53"/>
  <c r="K235" i="53" s="1"/>
  <c r="K250" i="53" s="1"/>
  <c r="H112" i="47" s="1"/>
  <c r="K199" i="53"/>
  <c r="K188" i="53"/>
  <c r="K93" i="53"/>
  <c r="K152" i="53" s="1"/>
  <c r="G93" i="53"/>
  <c r="H82" i="53"/>
  <c r="R82" i="53"/>
  <c r="M175" i="53" l="1"/>
  <c r="Q75" i="53"/>
  <c r="Q167" i="53" s="1"/>
  <c r="M191" i="53"/>
  <c r="M179" i="53"/>
  <c r="M202" i="53"/>
  <c r="M213" i="53"/>
  <c r="M209" i="53"/>
  <c r="X192" i="53"/>
  <c r="Y50" i="53"/>
  <c r="Y193" i="53" s="1"/>
  <c r="M167" i="53"/>
  <c r="N75" i="53"/>
  <c r="N167" i="53" s="1"/>
  <c r="L97" i="53"/>
  <c r="L156" i="53" s="1"/>
  <c r="L94" i="53"/>
  <c r="L153" i="53" s="1"/>
  <c r="N83" i="53"/>
  <c r="N188" i="53" s="1"/>
  <c r="M188" i="53"/>
  <c r="M176" i="53"/>
  <c r="M198" i="53"/>
  <c r="M187" i="53"/>
  <c r="J233" i="53"/>
  <c r="J248" i="53" s="1"/>
  <c r="G109" i="47" s="1"/>
  <c r="L162" i="53"/>
  <c r="M70" i="53"/>
  <c r="M199" i="53"/>
  <c r="M222" i="53" s="1"/>
  <c r="M260" i="53" s="1"/>
  <c r="J121" i="47" s="1"/>
  <c r="M216" i="53"/>
  <c r="M182" i="53"/>
  <c r="M163" i="53"/>
  <c r="N71" i="53"/>
  <c r="M166" i="53"/>
  <c r="N74" i="53"/>
  <c r="M164" i="53"/>
  <c r="N72" i="53"/>
  <c r="M158" i="53"/>
  <c r="M240" i="53" s="1"/>
  <c r="M255" i="53" s="1"/>
  <c r="J116" i="47" s="1"/>
  <c r="N99" i="53"/>
  <c r="M194" i="53"/>
  <c r="M205" i="53"/>
  <c r="L165" i="53"/>
  <c r="M73" i="53"/>
  <c r="N157" i="53"/>
  <c r="N239" i="53" s="1"/>
  <c r="N254" i="53" s="1"/>
  <c r="K110" i="47" s="1"/>
  <c r="O98" i="53"/>
  <c r="Y49" i="53"/>
  <c r="Y181" i="53" s="1"/>
  <c r="K221" i="53"/>
  <c r="K259" i="53" s="1"/>
  <c r="H120" i="47" s="1"/>
  <c r="T78" i="53"/>
  <c r="T170" i="53" s="1"/>
  <c r="Z45" i="53"/>
  <c r="Z44" i="53"/>
  <c r="Z50" i="53" s="1"/>
  <c r="Z43" i="53"/>
  <c r="Z46" i="53"/>
  <c r="X215" i="53"/>
  <c r="X214" i="53"/>
  <c r="Y52" i="53"/>
  <c r="K237" i="53"/>
  <c r="K252" i="53" s="1"/>
  <c r="H115" i="47" s="1"/>
  <c r="K241" i="53"/>
  <c r="K256" i="53" s="1"/>
  <c r="H114" i="47" s="1"/>
  <c r="L96" i="53"/>
  <c r="M224" i="53"/>
  <c r="M262" i="53" s="1"/>
  <c r="J124" i="47" s="1"/>
  <c r="J236" i="53"/>
  <c r="J251" i="53" s="1"/>
  <c r="G113" i="47" s="1"/>
  <c r="L224" i="53"/>
  <c r="L262" i="53" s="1"/>
  <c r="I124" i="47" s="1"/>
  <c r="Y192" i="53"/>
  <c r="V204" i="53"/>
  <c r="V227" i="53" s="1"/>
  <c r="V265" i="53" s="1"/>
  <c r="S125" i="47" s="1"/>
  <c r="W51" i="53"/>
  <c r="V203" i="53"/>
  <c r="V226" i="53" s="1"/>
  <c r="V264" i="53" s="1"/>
  <c r="S119" i="47" s="1"/>
  <c r="V53" i="53"/>
  <c r="AA31" i="53"/>
  <c r="AA34" i="53" s="1"/>
  <c r="AA35" i="53" s="1"/>
  <c r="AA36" i="53" s="1"/>
  <c r="AA41" i="53" s="1"/>
  <c r="AB23" i="53"/>
  <c r="Z168" i="53"/>
  <c r="Z169" i="53"/>
  <c r="X181" i="53"/>
  <c r="X180" i="53"/>
  <c r="P198" i="53"/>
  <c r="P209" i="53"/>
  <c r="P187" i="53"/>
  <c r="P175" i="53"/>
  <c r="Q82" i="53"/>
  <c r="L208" i="53"/>
  <c r="L197" i="53"/>
  <c r="L186" i="53"/>
  <c r="L174" i="53"/>
  <c r="R175" i="53"/>
  <c r="R198" i="53"/>
  <c r="R187" i="53"/>
  <c r="R209" i="53"/>
  <c r="I82" i="53"/>
  <c r="S82" i="53"/>
  <c r="AB82" i="53"/>
  <c r="L93" i="53"/>
  <c r="K222" i="53"/>
  <c r="K260" i="53" s="1"/>
  <c r="H121" i="47" s="1"/>
  <c r="L210" i="53"/>
  <c r="L199" i="53"/>
  <c r="L176" i="53"/>
  <c r="L188" i="53"/>
  <c r="P178" i="53"/>
  <c r="P212" i="53"/>
  <c r="P190" i="53"/>
  <c r="P201" i="53"/>
  <c r="O190" i="53"/>
  <c r="O178" i="53"/>
  <c r="O212" i="53"/>
  <c r="O201" i="53"/>
  <c r="L100" i="53"/>
  <c r="H100" i="53"/>
  <c r="R100" i="53"/>
  <c r="R159" i="53" s="1"/>
  <c r="R182" i="53"/>
  <c r="R216" i="53"/>
  <c r="R194" i="53"/>
  <c r="R205" i="53"/>
  <c r="O182" i="53"/>
  <c r="O194" i="53"/>
  <c r="O205" i="53"/>
  <c r="O216" i="53"/>
  <c r="L194" i="53"/>
  <c r="L182" i="53"/>
  <c r="L205" i="53"/>
  <c r="L216" i="53"/>
  <c r="I73" i="53"/>
  <c r="S73" i="53"/>
  <c r="AB73" i="53"/>
  <c r="L84" i="53"/>
  <c r="M84" i="53" s="1"/>
  <c r="M189" i="53" s="1"/>
  <c r="K200" i="53"/>
  <c r="K177" i="53"/>
  <c r="K211" i="53"/>
  <c r="K189" i="53"/>
  <c r="H96" i="53"/>
  <c r="R96" i="53"/>
  <c r="R155" i="53" s="1"/>
  <c r="M174" i="53"/>
  <c r="M208" i="53"/>
  <c r="M186" i="53"/>
  <c r="M197" i="53"/>
  <c r="J220" i="53"/>
  <c r="R179" i="53"/>
  <c r="R191" i="53"/>
  <c r="R202" i="53"/>
  <c r="R213" i="53"/>
  <c r="O86" i="53"/>
  <c r="N213" i="53"/>
  <c r="N202" i="53"/>
  <c r="N191" i="53"/>
  <c r="N179" i="53"/>
  <c r="T74" i="53"/>
  <c r="K234" i="53"/>
  <c r="K249" i="53" s="1"/>
  <c r="H111" i="47" s="1"/>
  <c r="L198" i="53"/>
  <c r="L187" i="53"/>
  <c r="L175" i="53"/>
  <c r="L209" i="53"/>
  <c r="T75" i="53"/>
  <c r="S167" i="53"/>
  <c r="I83" i="53"/>
  <c r="S83" i="53"/>
  <c r="AB83" i="53"/>
  <c r="K228" i="53"/>
  <c r="K266" i="53" s="1"/>
  <c r="H123" i="47" s="1"/>
  <c r="J223" i="53"/>
  <c r="J261" i="53" s="1"/>
  <c r="G122" i="47" s="1"/>
  <c r="AC71" i="53"/>
  <c r="AV71" i="53"/>
  <c r="AC78" i="53"/>
  <c r="AD78" i="53" s="1"/>
  <c r="AV78" i="53"/>
  <c r="K92" i="53"/>
  <c r="K151" i="53" s="1"/>
  <c r="G92" i="53"/>
  <c r="I70" i="53"/>
  <c r="S70" i="53"/>
  <c r="AB70" i="53"/>
  <c r="AD98" i="53"/>
  <c r="K238" i="53"/>
  <c r="K253" i="53" s="1"/>
  <c r="H117" i="47" s="1"/>
  <c r="L213" i="53"/>
  <c r="L179" i="53"/>
  <c r="L191" i="53"/>
  <c r="L202" i="53"/>
  <c r="T72" i="53"/>
  <c r="S164" i="53"/>
  <c r="AC99" i="53"/>
  <c r="AV99" i="53"/>
  <c r="O209" i="53"/>
  <c r="O187" i="53"/>
  <c r="O175" i="53"/>
  <c r="O198" i="53"/>
  <c r="M221" i="53"/>
  <c r="M259" i="53" s="1"/>
  <c r="J120" i="47" s="1"/>
  <c r="N187" i="53"/>
  <c r="N175" i="53"/>
  <c r="N198" i="53"/>
  <c r="N209" i="53"/>
  <c r="H93" i="53"/>
  <c r="R93" i="53"/>
  <c r="R152" i="53" s="1"/>
  <c r="R178" i="53"/>
  <c r="R201" i="53"/>
  <c r="R190" i="53"/>
  <c r="R212" i="53"/>
  <c r="Q178" i="53"/>
  <c r="Q201" i="53"/>
  <c r="Q190" i="53"/>
  <c r="Q212" i="53"/>
  <c r="I85" i="53"/>
  <c r="S85" i="53"/>
  <c r="AB85" i="53"/>
  <c r="K224" i="53"/>
  <c r="K262" i="53" s="1"/>
  <c r="H124" i="47" s="1"/>
  <c r="Q89" i="53"/>
  <c r="P194" i="53"/>
  <c r="P205" i="53"/>
  <c r="P216" i="53"/>
  <c r="P182" i="53"/>
  <c r="I89" i="53"/>
  <c r="S89" i="53"/>
  <c r="AB89" i="53"/>
  <c r="M211" i="53"/>
  <c r="M200" i="53"/>
  <c r="H84" i="53"/>
  <c r="N84" i="53"/>
  <c r="R84" i="53"/>
  <c r="O170" i="53"/>
  <c r="P78" i="53"/>
  <c r="K186" i="53"/>
  <c r="K174" i="53"/>
  <c r="K208" i="53"/>
  <c r="K197" i="53"/>
  <c r="H81" i="53"/>
  <c r="N81" i="53"/>
  <c r="R81" i="53"/>
  <c r="T157" i="53"/>
  <c r="T239" i="53" s="1"/>
  <c r="T254" i="53" s="1"/>
  <c r="Q110" i="47" s="1"/>
  <c r="U98" i="53"/>
  <c r="I86" i="53"/>
  <c r="S86" i="53"/>
  <c r="AB86" i="53"/>
  <c r="H97" i="53"/>
  <c r="R97" i="53"/>
  <c r="R156" i="53" s="1"/>
  <c r="AC74" i="53"/>
  <c r="AD74" i="53" s="1"/>
  <c r="AV74" i="53"/>
  <c r="AC75" i="53"/>
  <c r="AV75" i="53"/>
  <c r="R176" i="53"/>
  <c r="R188" i="53"/>
  <c r="R210" i="53"/>
  <c r="R199" i="53"/>
  <c r="O83" i="53"/>
  <c r="N201" i="53"/>
  <c r="N190" i="53"/>
  <c r="N178" i="53"/>
  <c r="N212" i="53"/>
  <c r="N205" i="53"/>
  <c r="N216" i="53"/>
  <c r="N194" i="53"/>
  <c r="N182" i="53"/>
  <c r="K95" i="53"/>
  <c r="K154" i="53" s="1"/>
  <c r="G95" i="53"/>
  <c r="T71" i="53"/>
  <c r="S163" i="53"/>
  <c r="H94" i="53"/>
  <c r="R94" i="53"/>
  <c r="R153" i="53" s="1"/>
  <c r="K225" i="53"/>
  <c r="K263" i="53" s="1"/>
  <c r="H126" i="47" s="1"/>
  <c r="AC72" i="53"/>
  <c r="AV72" i="53"/>
  <c r="T99" i="53"/>
  <c r="S158" i="53"/>
  <c r="S240" i="53" s="1"/>
  <c r="S255" i="53" s="1"/>
  <c r="P116" i="47" s="1"/>
  <c r="M225" i="53" l="1"/>
  <c r="M263" i="53" s="1"/>
  <c r="J126" i="47" s="1"/>
  <c r="L238" i="53"/>
  <c r="L253" i="53" s="1"/>
  <c r="I117" i="47" s="1"/>
  <c r="N210" i="53"/>
  <c r="N199" i="53"/>
  <c r="N176" i="53"/>
  <c r="L235" i="53"/>
  <c r="L250" i="53" s="1"/>
  <c r="I112" i="47" s="1"/>
  <c r="M97" i="53"/>
  <c r="L92" i="53"/>
  <c r="L151" i="53" s="1"/>
  <c r="L233" i="53" s="1"/>
  <c r="L248" i="53" s="1"/>
  <c r="I109" i="47" s="1"/>
  <c r="M228" i="53"/>
  <c r="M266" i="53" s="1"/>
  <c r="J123" i="47" s="1"/>
  <c r="K236" i="53"/>
  <c r="K251" i="53" s="1"/>
  <c r="H113" i="47" s="1"/>
  <c r="M177" i="53"/>
  <c r="R237" i="53"/>
  <c r="R252" i="53" s="1"/>
  <c r="O115" i="47" s="1"/>
  <c r="U78" i="53"/>
  <c r="U170" i="53" s="1"/>
  <c r="Y180" i="53"/>
  <c r="Z49" i="53"/>
  <c r="Z180" i="53" s="1"/>
  <c r="M94" i="53"/>
  <c r="L95" i="53"/>
  <c r="L154" i="53" s="1"/>
  <c r="M92" i="53"/>
  <c r="M151" i="53" s="1"/>
  <c r="L155" i="53"/>
  <c r="L237" i="53" s="1"/>
  <c r="L252" i="53" s="1"/>
  <c r="I115" i="47" s="1"/>
  <c r="M96" i="53"/>
  <c r="L159" i="53"/>
  <c r="L241" i="53" s="1"/>
  <c r="L256" i="53" s="1"/>
  <c r="I114" i="47" s="1"/>
  <c r="M100" i="53"/>
  <c r="L152" i="53"/>
  <c r="L234" i="53" s="1"/>
  <c r="L249" i="53" s="1"/>
  <c r="I111" i="47" s="1"/>
  <c r="M93" i="53"/>
  <c r="O157" i="53"/>
  <c r="O239" i="53" s="1"/>
  <c r="O254" i="53" s="1"/>
  <c r="L110" i="47" s="1"/>
  <c r="P98" i="53"/>
  <c r="M165" i="53"/>
  <c r="N73" i="53"/>
  <c r="O99" i="53"/>
  <c r="N158" i="53"/>
  <c r="N240" i="53" s="1"/>
  <c r="N255" i="53" s="1"/>
  <c r="K116" i="47" s="1"/>
  <c r="N164" i="53"/>
  <c r="O72" i="53"/>
  <c r="N166" i="53"/>
  <c r="O74" i="53"/>
  <c r="N163" i="53"/>
  <c r="O71" i="53"/>
  <c r="M162" i="53"/>
  <c r="N70" i="53"/>
  <c r="M223" i="53"/>
  <c r="M261" i="53" s="1"/>
  <c r="J122" i="47" s="1"/>
  <c r="Q224" i="53"/>
  <c r="Q262" i="53" s="1"/>
  <c r="N124" i="47" s="1"/>
  <c r="R224" i="53"/>
  <c r="R262" i="53" s="1"/>
  <c r="O124" i="47" s="1"/>
  <c r="L225" i="53"/>
  <c r="L263" i="53" s="1"/>
  <c r="I126" i="47" s="1"/>
  <c r="K223" i="53"/>
  <c r="K261" i="53" s="1"/>
  <c r="H122" i="47" s="1"/>
  <c r="R228" i="53"/>
  <c r="R266" i="53" s="1"/>
  <c r="O123" i="47" s="1"/>
  <c r="R241" i="53"/>
  <c r="R256" i="53" s="1"/>
  <c r="O114" i="47" s="1"/>
  <c r="L222" i="53"/>
  <c r="L260" i="53" s="1"/>
  <c r="I121" i="47" s="1"/>
  <c r="AA44" i="53"/>
  <c r="AA50" i="53" s="1"/>
  <c r="AA43" i="53"/>
  <c r="AA49" i="53" s="1"/>
  <c r="AA46" i="53"/>
  <c r="AA45" i="53"/>
  <c r="P221" i="53"/>
  <c r="P259" i="53" s="1"/>
  <c r="M120" i="47" s="1"/>
  <c r="Z192" i="53"/>
  <c r="Z193" i="53"/>
  <c r="AB31" i="53"/>
  <c r="AB34" i="53" s="1"/>
  <c r="AC23" i="53"/>
  <c r="AA168" i="53"/>
  <c r="AA169" i="53"/>
  <c r="X51" i="53"/>
  <c r="W203" i="53"/>
  <c r="W226" i="53" s="1"/>
  <c r="W264" i="53" s="1"/>
  <c r="T119" i="47" s="1"/>
  <c r="W204" i="53"/>
  <c r="W227" i="53" s="1"/>
  <c r="W265" i="53" s="1"/>
  <c r="T125" i="47" s="1"/>
  <c r="W53" i="53"/>
  <c r="Y214" i="53"/>
  <c r="Y215" i="53"/>
  <c r="Z52" i="53"/>
  <c r="AB24" i="53"/>
  <c r="Z181" i="53"/>
  <c r="T158" i="53"/>
  <c r="T240" i="53" s="1"/>
  <c r="T255" i="53" s="1"/>
  <c r="Q116" i="47" s="1"/>
  <c r="U99" i="53"/>
  <c r="H95" i="53"/>
  <c r="R95" i="53"/>
  <c r="R154" i="53" s="1"/>
  <c r="N224" i="53"/>
  <c r="N262" i="53" s="1"/>
  <c r="K124" i="47" s="1"/>
  <c r="O176" i="53"/>
  <c r="O188" i="53"/>
  <c r="O199" i="53"/>
  <c r="O210" i="53"/>
  <c r="P83" i="53"/>
  <c r="R235" i="53"/>
  <c r="R250" i="53" s="1"/>
  <c r="O112" i="47" s="1"/>
  <c r="AD75" i="53"/>
  <c r="O97" i="53"/>
  <c r="AC86" i="53"/>
  <c r="AV86" i="53"/>
  <c r="R174" i="53"/>
  <c r="R186" i="53"/>
  <c r="R197" i="53"/>
  <c r="R208" i="53"/>
  <c r="O81" i="53"/>
  <c r="N197" i="53"/>
  <c r="N208" i="53"/>
  <c r="N186" i="53"/>
  <c r="N174" i="53"/>
  <c r="P170" i="53"/>
  <c r="Q78" i="53"/>
  <c r="Q170" i="53" s="1"/>
  <c r="R177" i="53"/>
  <c r="R211" i="53"/>
  <c r="R200" i="53"/>
  <c r="R189" i="53"/>
  <c r="O84" i="53"/>
  <c r="N200" i="53"/>
  <c r="N211" i="53"/>
  <c r="N189" i="53"/>
  <c r="N177" i="53"/>
  <c r="AC89" i="53"/>
  <c r="AD89" i="53" s="1"/>
  <c r="AV89" i="53"/>
  <c r="P228" i="53"/>
  <c r="P266" i="53" s="1"/>
  <c r="M123" i="47" s="1"/>
  <c r="T85" i="53"/>
  <c r="S178" i="53"/>
  <c r="S190" i="53"/>
  <c r="S212" i="53"/>
  <c r="S201" i="53"/>
  <c r="AD99" i="53"/>
  <c r="AC70" i="53"/>
  <c r="AD70" i="53" s="1"/>
  <c r="AV70" i="53"/>
  <c r="K233" i="53"/>
  <c r="K248" i="53" s="1"/>
  <c r="H109" i="47" s="1"/>
  <c r="AD71" i="53"/>
  <c r="T83" i="53"/>
  <c r="S176" i="53"/>
  <c r="S188" i="53"/>
  <c r="S199" i="53"/>
  <c r="S210" i="53"/>
  <c r="L221" i="53"/>
  <c r="L259" i="53" s="1"/>
  <c r="I120" i="47" s="1"/>
  <c r="N225" i="53"/>
  <c r="N263" i="53" s="1"/>
  <c r="K126" i="47" s="1"/>
  <c r="R225" i="53"/>
  <c r="R263" i="53" s="1"/>
  <c r="O126" i="47" s="1"/>
  <c r="J258" i="53"/>
  <c r="G118" i="47" s="1"/>
  <c r="J245" i="53"/>
  <c r="M220" i="53"/>
  <c r="I96" i="53"/>
  <c r="S96" i="53"/>
  <c r="AB96" i="53"/>
  <c r="AC73" i="53"/>
  <c r="AV73" i="53"/>
  <c r="O228" i="53"/>
  <c r="O266" i="53" s="1"/>
  <c r="L123" i="47" s="1"/>
  <c r="I100" i="53"/>
  <c r="S100" i="53"/>
  <c r="AB100" i="53"/>
  <c r="O224" i="53"/>
  <c r="O262" i="53" s="1"/>
  <c r="L124" i="47" s="1"/>
  <c r="P224" i="53"/>
  <c r="P262" i="53" s="1"/>
  <c r="M124" i="47" s="1"/>
  <c r="AC82" i="53"/>
  <c r="AD82" i="53" s="1"/>
  <c r="AV82" i="53"/>
  <c r="R221" i="53"/>
  <c r="R259" i="53" s="1"/>
  <c r="O120" i="47" s="1"/>
  <c r="R234" i="53"/>
  <c r="R249" i="53" s="1"/>
  <c r="O111" i="47" s="1"/>
  <c r="L220" i="53"/>
  <c r="AD72" i="53"/>
  <c r="O94" i="53"/>
  <c r="I94" i="53"/>
  <c r="S94" i="53"/>
  <c r="AB94" i="53"/>
  <c r="T163" i="53"/>
  <c r="U71" i="53"/>
  <c r="N228" i="53"/>
  <c r="N266" i="53" s="1"/>
  <c r="K123" i="47" s="1"/>
  <c r="N222" i="53"/>
  <c r="N260" i="53" s="1"/>
  <c r="K121" i="47" s="1"/>
  <c r="R222" i="53"/>
  <c r="R260" i="53" s="1"/>
  <c r="O121" i="47" s="1"/>
  <c r="AE74" i="53"/>
  <c r="I97" i="53"/>
  <c r="S97" i="53"/>
  <c r="AB97" i="53"/>
  <c r="T86" i="53"/>
  <c r="S179" i="53"/>
  <c r="S202" i="53"/>
  <c r="S213" i="53"/>
  <c r="S191" i="53"/>
  <c r="U157" i="53"/>
  <c r="U239" i="53" s="1"/>
  <c r="U254" i="53" s="1"/>
  <c r="R110" i="47" s="1"/>
  <c r="V98" i="53"/>
  <c r="I81" i="53"/>
  <c r="S81" i="53"/>
  <c r="AB81" i="53"/>
  <c r="K220" i="53"/>
  <c r="I84" i="53"/>
  <c r="S84" i="53"/>
  <c r="AB84" i="53"/>
  <c r="T89" i="53"/>
  <c r="S182" i="53"/>
  <c r="S194" i="53"/>
  <c r="S205" i="53"/>
  <c r="S216" i="53"/>
  <c r="Q182" i="53"/>
  <c r="Q205" i="53"/>
  <c r="Q194" i="53"/>
  <c r="Q216" i="53"/>
  <c r="AC85" i="53"/>
  <c r="AD85" i="53" s="1"/>
  <c r="AV85" i="53"/>
  <c r="I93" i="53"/>
  <c r="S93" i="53"/>
  <c r="AB93" i="53"/>
  <c r="N221" i="53"/>
  <c r="N259" i="53" s="1"/>
  <c r="K120" i="47" s="1"/>
  <c r="O221" i="53"/>
  <c r="O259" i="53" s="1"/>
  <c r="L120" i="47" s="1"/>
  <c r="T164" i="53"/>
  <c r="U72" i="53"/>
  <c r="AE98" i="53"/>
  <c r="T70" i="53"/>
  <c r="S162" i="53"/>
  <c r="H92" i="53"/>
  <c r="O92" i="53"/>
  <c r="O151" i="53" s="1"/>
  <c r="R92" i="53"/>
  <c r="R151" i="53" s="1"/>
  <c r="AE78" i="53"/>
  <c r="AC83" i="53"/>
  <c r="AD83" i="53" s="1"/>
  <c r="AV83" i="53"/>
  <c r="T167" i="53"/>
  <c r="U75" i="53"/>
  <c r="T166" i="53"/>
  <c r="U74" i="53"/>
  <c r="O213" i="53"/>
  <c r="O191" i="53"/>
  <c r="O179" i="53"/>
  <c r="O202" i="53"/>
  <c r="P86" i="53"/>
  <c r="R238" i="53"/>
  <c r="R253" i="53" s="1"/>
  <c r="O117" i="47" s="1"/>
  <c r="L211" i="53"/>
  <c r="L177" i="53"/>
  <c r="L236" i="53" s="1"/>
  <c r="L251" i="53" s="1"/>
  <c r="I113" i="47" s="1"/>
  <c r="L200" i="53"/>
  <c r="L189" i="53"/>
  <c r="T73" i="53"/>
  <c r="S165" i="53"/>
  <c r="L228" i="53"/>
  <c r="L266" i="53" s="1"/>
  <c r="I123" i="47" s="1"/>
  <c r="T82" i="53"/>
  <c r="S175" i="53"/>
  <c r="S198" i="53"/>
  <c r="S187" i="53"/>
  <c r="S209" i="53"/>
  <c r="Q175" i="53"/>
  <c r="Q187" i="53"/>
  <c r="Q209" i="53"/>
  <c r="Q198" i="53"/>
  <c r="AC24" i="53" l="1"/>
  <c r="M156" i="53"/>
  <c r="M238" i="53" s="1"/>
  <c r="M253" i="53" s="1"/>
  <c r="J117" i="47" s="1"/>
  <c r="N97" i="53"/>
  <c r="N156" i="53" s="1"/>
  <c r="N238" i="53" s="1"/>
  <c r="N253" i="53" s="1"/>
  <c r="K117" i="47" s="1"/>
  <c r="V78" i="53"/>
  <c r="W78" i="53" s="1"/>
  <c r="AB156" i="53"/>
  <c r="N92" i="53"/>
  <c r="N151" i="53" s="1"/>
  <c r="M233" i="53"/>
  <c r="M248" i="53" s="1"/>
  <c r="J109" i="47" s="1"/>
  <c r="M95" i="53"/>
  <c r="M154" i="53" s="1"/>
  <c r="M236" i="53" s="1"/>
  <c r="M251" i="53" s="1"/>
  <c r="J113" i="47" s="1"/>
  <c r="AB152" i="53"/>
  <c r="AB153" i="53"/>
  <c r="AB159" i="53"/>
  <c r="AB155" i="53"/>
  <c r="M153" i="53"/>
  <c r="M235" i="53" s="1"/>
  <c r="M250" i="53" s="1"/>
  <c r="J112" i="47" s="1"/>
  <c r="N94" i="53"/>
  <c r="N153" i="53" s="1"/>
  <c r="N235" i="53" s="1"/>
  <c r="N250" i="53" s="1"/>
  <c r="K112" i="47" s="1"/>
  <c r="P92" i="53"/>
  <c r="R236" i="53"/>
  <c r="R251" i="53" s="1"/>
  <c r="O113" i="47" s="1"/>
  <c r="N162" i="53"/>
  <c r="O70" i="53"/>
  <c r="O163" i="53"/>
  <c r="P71" i="53"/>
  <c r="O166" i="53"/>
  <c r="P74" i="53"/>
  <c r="O164" i="53"/>
  <c r="P72" i="53"/>
  <c r="N165" i="53"/>
  <c r="O73" i="53"/>
  <c r="P157" i="53"/>
  <c r="P239" i="53" s="1"/>
  <c r="P254" i="53" s="1"/>
  <c r="M110" i="47" s="1"/>
  <c r="Q98" i="53"/>
  <c r="Q157" i="53" s="1"/>
  <c r="Q239" i="53" s="1"/>
  <c r="Q254" i="53" s="1"/>
  <c r="N110" i="47" s="1"/>
  <c r="M152" i="53"/>
  <c r="M234" i="53" s="1"/>
  <c r="M249" i="53" s="1"/>
  <c r="J111" i="47" s="1"/>
  <c r="N93" i="53"/>
  <c r="M159" i="53"/>
  <c r="M241" i="53" s="1"/>
  <c r="M256" i="53" s="1"/>
  <c r="J114" i="47" s="1"/>
  <c r="N100" i="53"/>
  <c r="M155" i="53"/>
  <c r="M237" i="53" s="1"/>
  <c r="M252" i="53" s="1"/>
  <c r="J115" i="47" s="1"/>
  <c r="N96" i="53"/>
  <c r="O158" i="53"/>
  <c r="O240" i="53" s="1"/>
  <c r="O255" i="53" s="1"/>
  <c r="L116" i="47" s="1"/>
  <c r="P99" i="53"/>
  <c r="S221" i="53"/>
  <c r="S259" i="53" s="1"/>
  <c r="P120" i="47" s="1"/>
  <c r="Q228" i="53"/>
  <c r="Q266" i="53" s="1"/>
  <c r="N123" i="47" s="1"/>
  <c r="S225" i="53"/>
  <c r="S263" i="53" s="1"/>
  <c r="P126" i="47" s="1"/>
  <c r="N223" i="53"/>
  <c r="N261" i="53" s="1"/>
  <c r="K122" i="47" s="1"/>
  <c r="R223" i="53"/>
  <c r="R261" i="53" s="1"/>
  <c r="O122" i="47" s="1"/>
  <c r="Z215" i="53"/>
  <c r="Z214" i="53"/>
  <c r="AA52" i="53"/>
  <c r="X203" i="53"/>
  <c r="X226" i="53" s="1"/>
  <c r="X264" i="53" s="1"/>
  <c r="U119" i="47" s="1"/>
  <c r="Y51" i="53"/>
  <c r="X204" i="53"/>
  <c r="X227" i="53" s="1"/>
  <c r="X265" i="53" s="1"/>
  <c r="U125" i="47" s="1"/>
  <c r="X53" i="53"/>
  <c r="AA180" i="53"/>
  <c r="AA181" i="53"/>
  <c r="AC31" i="53"/>
  <c r="AC34" i="53" s="1"/>
  <c r="AD23" i="53"/>
  <c r="AB35" i="53"/>
  <c r="AB157" i="53"/>
  <c r="AB158" i="53"/>
  <c r="AA192" i="53"/>
  <c r="AA193" i="53"/>
  <c r="AE85" i="53"/>
  <c r="AE89" i="53"/>
  <c r="Q221" i="53"/>
  <c r="Q259" i="53" s="1"/>
  <c r="N120" i="47" s="1"/>
  <c r="T175" i="53"/>
  <c r="T198" i="53"/>
  <c r="T187" i="53"/>
  <c r="T209" i="53"/>
  <c r="U82" i="53"/>
  <c r="L223" i="53"/>
  <c r="L261" i="53" s="1"/>
  <c r="I122" i="47" s="1"/>
  <c r="O225" i="53"/>
  <c r="O263" i="53" s="1"/>
  <c r="L126" i="47" s="1"/>
  <c r="AF78" i="53"/>
  <c r="T162" i="53"/>
  <c r="U70" i="53"/>
  <c r="AF98" i="53"/>
  <c r="T93" i="53"/>
  <c r="S152" i="53"/>
  <c r="S234" i="53" s="1"/>
  <c r="S249" i="53" s="1"/>
  <c r="P111" i="47" s="1"/>
  <c r="AC84" i="53"/>
  <c r="AD84" i="53" s="1"/>
  <c r="AV84" i="53"/>
  <c r="AC81" i="53"/>
  <c r="AV81" i="53"/>
  <c r="AC97" i="53"/>
  <c r="AV97" i="53"/>
  <c r="AF74" i="53"/>
  <c r="U163" i="53"/>
  <c r="V71" i="53"/>
  <c r="AC94" i="53"/>
  <c r="AV94" i="53"/>
  <c r="AE72" i="53"/>
  <c r="L258" i="53"/>
  <c r="I118" i="47" s="1"/>
  <c r="T100" i="53"/>
  <c r="S159" i="53"/>
  <c r="S241" i="53" s="1"/>
  <c r="S256" i="53" s="1"/>
  <c r="P114" i="47" s="1"/>
  <c r="AD73" i="53"/>
  <c r="AC96" i="53"/>
  <c r="AD96" i="53" s="1"/>
  <c r="AV96" i="53"/>
  <c r="AE71" i="53"/>
  <c r="O177" i="53"/>
  <c r="O200" i="53"/>
  <c r="O189" i="53"/>
  <c r="O211" i="53"/>
  <c r="P84" i="53"/>
  <c r="N220" i="53"/>
  <c r="R220" i="53"/>
  <c r="AE75" i="53"/>
  <c r="Q83" i="53"/>
  <c r="P210" i="53"/>
  <c r="P199" i="53"/>
  <c r="P176" i="53"/>
  <c r="P188" i="53"/>
  <c r="O95" i="53"/>
  <c r="I95" i="53"/>
  <c r="S95" i="53"/>
  <c r="AB95" i="53"/>
  <c r="AB154" i="53" s="1"/>
  <c r="U158" i="53"/>
  <c r="U240" i="53" s="1"/>
  <c r="U255" i="53" s="1"/>
  <c r="R116" i="47" s="1"/>
  <c r="V99" i="53"/>
  <c r="T165" i="53"/>
  <c r="U73" i="53"/>
  <c r="Q86" i="53"/>
  <c r="P179" i="53"/>
  <c r="P202" i="53"/>
  <c r="P213" i="53"/>
  <c r="P191" i="53"/>
  <c r="U166" i="53"/>
  <c r="V74" i="53"/>
  <c r="U167" i="53"/>
  <c r="V75" i="53"/>
  <c r="AE83" i="53"/>
  <c r="V170" i="53"/>
  <c r="I92" i="53"/>
  <c r="S92" i="53"/>
  <c r="AB92" i="53"/>
  <c r="AB151" i="53" s="1"/>
  <c r="U164" i="53"/>
  <c r="V72" i="53"/>
  <c r="AC93" i="53"/>
  <c r="AV93" i="53"/>
  <c r="S228" i="53"/>
  <c r="S266" i="53" s="1"/>
  <c r="P123" i="47" s="1"/>
  <c r="T182" i="53"/>
  <c r="T194" i="53"/>
  <c r="T205" i="53"/>
  <c r="T216" i="53"/>
  <c r="U89" i="53"/>
  <c r="T84" i="53"/>
  <c r="S177" i="53"/>
  <c r="S211" i="53"/>
  <c r="S200" i="53"/>
  <c r="S189" i="53"/>
  <c r="K258" i="53"/>
  <c r="H118" i="47" s="1"/>
  <c r="K245" i="53"/>
  <c r="T81" i="53"/>
  <c r="S174" i="53"/>
  <c r="S186" i="53"/>
  <c r="S208" i="53"/>
  <c r="S197" i="53"/>
  <c r="V157" i="53"/>
  <c r="V239" i="53" s="1"/>
  <c r="V254" i="53" s="1"/>
  <c r="S110" i="47" s="1"/>
  <c r="W98" i="53"/>
  <c r="T179" i="53"/>
  <c r="T191" i="53"/>
  <c r="T202" i="53"/>
  <c r="T213" i="53"/>
  <c r="U86" i="53"/>
  <c r="T97" i="53"/>
  <c r="S156" i="53"/>
  <c r="S238" i="53" s="1"/>
  <c r="S253" i="53" s="1"/>
  <c r="P117" i="47" s="1"/>
  <c r="T94" i="53"/>
  <c r="S153" i="53"/>
  <c r="S235" i="53" s="1"/>
  <c r="S250" i="53" s="1"/>
  <c r="P112" i="47" s="1"/>
  <c r="O153" i="53"/>
  <c r="O235" i="53" s="1"/>
  <c r="O250" i="53" s="1"/>
  <c r="L112" i="47" s="1"/>
  <c r="P94" i="53"/>
  <c r="AE82" i="53"/>
  <c r="AC100" i="53"/>
  <c r="AV100" i="53"/>
  <c r="T96" i="53"/>
  <c r="S155" i="53"/>
  <c r="S237" i="53" s="1"/>
  <c r="S252" i="53" s="1"/>
  <c r="P115" i="47" s="1"/>
  <c r="M245" i="53"/>
  <c r="M258" i="53"/>
  <c r="J118" i="47" s="1"/>
  <c r="S222" i="53"/>
  <c r="S260" i="53" s="1"/>
  <c r="P121" i="47" s="1"/>
  <c r="T176" i="53"/>
  <c r="T199" i="53"/>
  <c r="T188" i="53"/>
  <c r="T210" i="53"/>
  <c r="U83" i="53"/>
  <c r="AE70" i="53"/>
  <c r="AE99" i="53"/>
  <c r="S224" i="53"/>
  <c r="S262" i="53" s="1"/>
  <c r="P124" i="47" s="1"/>
  <c r="T178" i="53"/>
  <c r="T190" i="53"/>
  <c r="T201" i="53"/>
  <c r="T212" i="53"/>
  <c r="U85" i="53"/>
  <c r="N233" i="53"/>
  <c r="N248" i="53" s="1"/>
  <c r="K109" i="47" s="1"/>
  <c r="O208" i="53"/>
  <c r="O197" i="53"/>
  <c r="O174" i="53"/>
  <c r="O186" i="53"/>
  <c r="P81" i="53"/>
  <c r="P186" i="53" s="1"/>
  <c r="R233" i="53"/>
  <c r="R248" i="53" s="1"/>
  <c r="O109" i="47" s="1"/>
  <c r="AD86" i="53"/>
  <c r="O156" i="53"/>
  <c r="O238" i="53" s="1"/>
  <c r="O253" i="53" s="1"/>
  <c r="L117" i="47" s="1"/>
  <c r="P97" i="53"/>
  <c r="O222" i="53"/>
  <c r="O260" i="53" s="1"/>
  <c r="L121" i="47" s="1"/>
  <c r="AC152" i="53" l="1"/>
  <c r="AC159" i="53"/>
  <c r="N95" i="53"/>
  <c r="N154" i="53" s="1"/>
  <c r="N236" i="53" s="1"/>
  <c r="N251" i="53" s="1"/>
  <c r="K113" i="47" s="1"/>
  <c r="AC153" i="53"/>
  <c r="L245" i="53"/>
  <c r="P151" i="53"/>
  <c r="Q92" i="53"/>
  <c r="Q151" i="53" s="1"/>
  <c r="P158" i="53"/>
  <c r="P240" i="53" s="1"/>
  <c r="P255" i="53" s="1"/>
  <c r="M116" i="47" s="1"/>
  <c r="Q99" i="53"/>
  <c r="Q158" i="53" s="1"/>
  <c r="Q240" i="53" s="1"/>
  <c r="Q255" i="53" s="1"/>
  <c r="N116" i="47" s="1"/>
  <c r="N155" i="53"/>
  <c r="N237" i="53" s="1"/>
  <c r="N252" i="53" s="1"/>
  <c r="K115" i="47" s="1"/>
  <c r="O96" i="53"/>
  <c r="N159" i="53"/>
  <c r="N241" i="53" s="1"/>
  <c r="N256" i="53" s="1"/>
  <c r="K114" i="47" s="1"/>
  <c r="O100" i="53"/>
  <c r="N152" i="53"/>
  <c r="N234" i="53" s="1"/>
  <c r="N249" i="53" s="1"/>
  <c r="K111" i="47" s="1"/>
  <c r="O93" i="53"/>
  <c r="O165" i="53"/>
  <c r="P73" i="53"/>
  <c r="P164" i="53"/>
  <c r="Q72" i="53"/>
  <c r="Q164" i="53" s="1"/>
  <c r="P166" i="53"/>
  <c r="Q74" i="53"/>
  <c r="Q166" i="53" s="1"/>
  <c r="Q71" i="53"/>
  <c r="Q163" i="53" s="1"/>
  <c r="P163" i="53"/>
  <c r="O162" i="53"/>
  <c r="O233" i="53" s="1"/>
  <c r="O248" i="53" s="1"/>
  <c r="L109" i="47" s="1"/>
  <c r="P70" i="53"/>
  <c r="T222" i="53"/>
  <c r="T260" i="53" s="1"/>
  <c r="Q121" i="47" s="1"/>
  <c r="P222" i="53"/>
  <c r="P260" i="53" s="1"/>
  <c r="M121" i="47" s="1"/>
  <c r="O223" i="53"/>
  <c r="O261" i="53" s="1"/>
  <c r="L122" i="47" s="1"/>
  <c r="AC155" i="53"/>
  <c r="AD94" i="53"/>
  <c r="AE94" i="53" s="1"/>
  <c r="AC156" i="53"/>
  <c r="AD31" i="53"/>
  <c r="AD34" i="53" s="1"/>
  <c r="AD155" i="53" s="1"/>
  <c r="AE23" i="53"/>
  <c r="AC35" i="53"/>
  <c r="AC157" i="53"/>
  <c r="AC158" i="53"/>
  <c r="AD24" i="53"/>
  <c r="AA214" i="53"/>
  <c r="AA215" i="53"/>
  <c r="S223" i="53"/>
  <c r="S261" i="53" s="1"/>
  <c r="P122" i="47" s="1"/>
  <c r="P225" i="53"/>
  <c r="P263" i="53" s="1"/>
  <c r="M126" i="47" s="1"/>
  <c r="AD97" i="53"/>
  <c r="AB169" i="53"/>
  <c r="AB168" i="53"/>
  <c r="AB163" i="53"/>
  <c r="AB164" i="53"/>
  <c r="AB167" i="53"/>
  <c r="AB166" i="53"/>
  <c r="AB170" i="53"/>
  <c r="AB162" i="53"/>
  <c r="AB165" i="53"/>
  <c r="AB36" i="53"/>
  <c r="AB41" i="53" s="1"/>
  <c r="Y203" i="53"/>
  <c r="Y226" i="53" s="1"/>
  <c r="Y264" i="53" s="1"/>
  <c r="V119" i="47" s="1"/>
  <c r="Y204" i="53"/>
  <c r="Y227" i="53" s="1"/>
  <c r="Y265" i="53" s="1"/>
  <c r="V125" i="47" s="1"/>
  <c r="Y53" i="53"/>
  <c r="Z51" i="53"/>
  <c r="AE84" i="53"/>
  <c r="P156" i="53"/>
  <c r="P238" i="53" s="1"/>
  <c r="P253" i="53" s="1"/>
  <c r="M117" i="47" s="1"/>
  <c r="Q97" i="53"/>
  <c r="Q156" i="53" s="1"/>
  <c r="O220" i="53"/>
  <c r="U178" i="53"/>
  <c r="U212" i="53"/>
  <c r="U190" i="53"/>
  <c r="U201" i="53"/>
  <c r="V85" i="53"/>
  <c r="T155" i="53"/>
  <c r="T237" i="53" s="1"/>
  <c r="T252" i="53" s="1"/>
  <c r="Q115" i="47" s="1"/>
  <c r="U96" i="53"/>
  <c r="AD100" i="53"/>
  <c r="AF82" i="53"/>
  <c r="T153" i="53"/>
  <c r="T235" i="53" s="1"/>
  <c r="T250" i="53" s="1"/>
  <c r="Q112" i="47" s="1"/>
  <c r="U94" i="53"/>
  <c r="T156" i="53"/>
  <c r="T238" i="53" s="1"/>
  <c r="T253" i="53" s="1"/>
  <c r="Q117" i="47" s="1"/>
  <c r="U97" i="53"/>
  <c r="T225" i="53"/>
  <c r="T263" i="53" s="1"/>
  <c r="Q126" i="47" s="1"/>
  <c r="W157" i="53"/>
  <c r="W239" i="53" s="1"/>
  <c r="W254" i="53" s="1"/>
  <c r="T110" i="47" s="1"/>
  <c r="X98" i="53"/>
  <c r="S220" i="53"/>
  <c r="T174" i="53"/>
  <c r="T208" i="53"/>
  <c r="T186" i="53"/>
  <c r="T197" i="53"/>
  <c r="U81" i="53"/>
  <c r="U182" i="53"/>
  <c r="U205" i="53"/>
  <c r="U216" i="53"/>
  <c r="U194" i="53"/>
  <c r="V89" i="53"/>
  <c r="AD93" i="53"/>
  <c r="V164" i="53"/>
  <c r="W72" i="53"/>
  <c r="AC92" i="53"/>
  <c r="AC151" i="53" s="1"/>
  <c r="AV92" i="53"/>
  <c r="V167" i="53"/>
  <c r="W75" i="53"/>
  <c r="V166" i="53"/>
  <c r="W74" i="53"/>
  <c r="U165" i="53"/>
  <c r="V73" i="53"/>
  <c r="V158" i="53"/>
  <c r="V240" i="53" s="1"/>
  <c r="V255" i="53" s="1"/>
  <c r="S116" i="47" s="1"/>
  <c r="W99" i="53"/>
  <c r="AC95" i="53"/>
  <c r="AC154" i="53" s="1"/>
  <c r="AV95" i="53"/>
  <c r="N258" i="53"/>
  <c r="K118" i="47" s="1"/>
  <c r="AG98" i="53"/>
  <c r="U162" i="53"/>
  <c r="V70" i="53"/>
  <c r="AG78" i="53"/>
  <c r="U175" i="53"/>
  <c r="U187" i="53"/>
  <c r="U198" i="53"/>
  <c r="U209" i="53"/>
  <c r="V82" i="53"/>
  <c r="T221" i="53"/>
  <c r="T259" i="53" s="1"/>
  <c r="Q120" i="47" s="1"/>
  <c r="AF89" i="53"/>
  <c r="AE86" i="53"/>
  <c r="Q81" i="53"/>
  <c r="P197" i="53"/>
  <c r="P174" i="53"/>
  <c r="P208" i="53"/>
  <c r="T224" i="53"/>
  <c r="T262" i="53" s="1"/>
  <c r="Q124" i="47" s="1"/>
  <c r="AF99" i="53"/>
  <c r="AF70" i="53"/>
  <c r="U176" i="53"/>
  <c r="U188" i="53"/>
  <c r="U210" i="53"/>
  <c r="U199" i="53"/>
  <c r="V83" i="53"/>
  <c r="P153" i="53"/>
  <c r="P235" i="53" s="1"/>
  <c r="P250" i="53" s="1"/>
  <c r="M112" i="47" s="1"/>
  <c r="Q94" i="53"/>
  <c r="Q153" i="53" s="1"/>
  <c r="U179" i="53"/>
  <c r="U191" i="53"/>
  <c r="U202" i="53"/>
  <c r="U213" i="53"/>
  <c r="V86" i="53"/>
  <c r="U84" i="53"/>
  <c r="T177" i="53"/>
  <c r="T211" i="53"/>
  <c r="T189" i="53"/>
  <c r="T200" i="53"/>
  <c r="T228" i="53"/>
  <c r="T266" i="53" s="1"/>
  <c r="Q123" i="47" s="1"/>
  <c r="T92" i="53"/>
  <c r="S151" i="53"/>
  <c r="S233" i="53" s="1"/>
  <c r="S248" i="53" s="1"/>
  <c r="P109" i="47" s="1"/>
  <c r="W170" i="53"/>
  <c r="X78" i="53"/>
  <c r="AF83" i="53"/>
  <c r="Q179" i="53"/>
  <c r="Q238" i="53" s="1"/>
  <c r="Q253" i="53" s="1"/>
  <c r="N117" i="47" s="1"/>
  <c r="Q202" i="53"/>
  <c r="Q213" i="53"/>
  <c r="Q191" i="53"/>
  <c r="T95" i="53"/>
  <c r="S154" i="53"/>
  <c r="S236" i="53" s="1"/>
  <c r="S251" i="53" s="1"/>
  <c r="P113" i="47" s="1"/>
  <c r="O154" i="53"/>
  <c r="O236" i="53" s="1"/>
  <c r="O251" i="53" s="1"/>
  <c r="L113" i="47" s="1"/>
  <c r="P95" i="53"/>
  <c r="Q176" i="53"/>
  <c r="Q188" i="53"/>
  <c r="Q210" i="53"/>
  <c r="Q199" i="53"/>
  <c r="AF75" i="53"/>
  <c r="R258" i="53"/>
  <c r="O118" i="47" s="1"/>
  <c r="R245" i="53"/>
  <c r="Q84" i="53"/>
  <c r="P177" i="53"/>
  <c r="P189" i="53"/>
  <c r="P211" i="53"/>
  <c r="P200" i="53"/>
  <c r="AF71" i="53"/>
  <c r="AE96" i="53"/>
  <c r="AE73" i="53"/>
  <c r="T159" i="53"/>
  <c r="T241" i="53" s="1"/>
  <c r="T256" i="53" s="1"/>
  <c r="Q114" i="47" s="1"/>
  <c r="U100" i="53"/>
  <c r="AF72" i="53"/>
  <c r="V163" i="53"/>
  <c r="W71" i="53"/>
  <c r="AG74" i="53"/>
  <c r="AE97" i="53"/>
  <c r="AD81" i="53"/>
  <c r="T152" i="53"/>
  <c r="T234" i="53" s="1"/>
  <c r="T249" i="53" s="1"/>
  <c r="Q111" i="47" s="1"/>
  <c r="U93" i="53"/>
  <c r="AF85" i="53"/>
  <c r="AD153" i="53" l="1"/>
  <c r="AE24" i="53"/>
  <c r="N245" i="53"/>
  <c r="AD156" i="53"/>
  <c r="Q235" i="53"/>
  <c r="Q250" i="53" s="1"/>
  <c r="N112" i="47" s="1"/>
  <c r="P162" i="53"/>
  <c r="P233" i="53" s="1"/>
  <c r="P248" i="53" s="1"/>
  <c r="M109" i="47" s="1"/>
  <c r="Q70" i="53"/>
  <c r="Q162" i="53" s="1"/>
  <c r="Q73" i="53"/>
  <c r="Q165" i="53" s="1"/>
  <c r="P165" i="53"/>
  <c r="O152" i="53"/>
  <c r="O234" i="53" s="1"/>
  <c r="O249" i="53" s="1"/>
  <c r="L111" i="47" s="1"/>
  <c r="P93" i="53"/>
  <c r="O159" i="53"/>
  <c r="O241" i="53" s="1"/>
  <c r="O256" i="53" s="1"/>
  <c r="L114" i="47" s="1"/>
  <c r="P100" i="53"/>
  <c r="P96" i="53"/>
  <c r="O155" i="53"/>
  <c r="O237" i="53" s="1"/>
  <c r="O252" i="53" s="1"/>
  <c r="L115" i="47" s="1"/>
  <c r="AD95" i="53"/>
  <c r="U224" i="53"/>
  <c r="U262" i="53" s="1"/>
  <c r="R124" i="47" s="1"/>
  <c r="U228" i="53"/>
  <c r="U266" i="53" s="1"/>
  <c r="R123" i="47" s="1"/>
  <c r="T223" i="53"/>
  <c r="T261" i="53" s="1"/>
  <c r="Q122" i="47" s="1"/>
  <c r="AC169" i="53"/>
  <c r="AC168" i="53"/>
  <c r="AC166" i="53"/>
  <c r="AC164" i="53"/>
  <c r="AC170" i="53"/>
  <c r="AC167" i="53"/>
  <c r="AC163" i="53"/>
  <c r="AC162" i="53"/>
  <c r="AC165" i="53"/>
  <c r="AC36" i="53"/>
  <c r="AC41" i="53" s="1"/>
  <c r="Z203" i="53"/>
  <c r="Z226" i="53" s="1"/>
  <c r="Z264" i="53" s="1"/>
  <c r="W119" i="47" s="1"/>
  <c r="Z204" i="53"/>
  <c r="Z227" i="53" s="1"/>
  <c r="Z265" i="53" s="1"/>
  <c r="W125" i="47" s="1"/>
  <c r="Z53" i="53"/>
  <c r="AA51" i="53"/>
  <c r="AB44" i="53"/>
  <c r="AB50" i="53" s="1"/>
  <c r="AB43" i="53"/>
  <c r="AB49" i="53" s="1"/>
  <c r="AB45" i="53"/>
  <c r="AB46" i="53"/>
  <c r="AB52" i="53" s="1"/>
  <c r="AE31" i="53"/>
  <c r="AE34" i="53" s="1"/>
  <c r="AF23" i="53"/>
  <c r="AD35" i="53"/>
  <c r="AD157" i="53"/>
  <c r="AD158" i="53"/>
  <c r="AG85" i="53"/>
  <c r="AH74" i="53"/>
  <c r="W163" i="53"/>
  <c r="X71" i="53"/>
  <c r="AG72" i="53"/>
  <c r="U159" i="53"/>
  <c r="U241" i="53" s="1"/>
  <c r="U256" i="53" s="1"/>
  <c r="R114" i="47" s="1"/>
  <c r="V100" i="53"/>
  <c r="AG71" i="53"/>
  <c r="AG75" i="53"/>
  <c r="Q222" i="53"/>
  <c r="Q260" i="53" s="1"/>
  <c r="N121" i="47" s="1"/>
  <c r="P154" i="53"/>
  <c r="P236" i="53" s="1"/>
  <c r="P251" i="53" s="1"/>
  <c r="M113" i="47" s="1"/>
  <c r="Q95" i="53"/>
  <c r="Q154" i="53" s="1"/>
  <c r="Q225" i="53"/>
  <c r="Q263" i="53" s="1"/>
  <c r="N126" i="47" s="1"/>
  <c r="T151" i="53"/>
  <c r="T233" i="53" s="1"/>
  <c r="T248" i="53" s="1"/>
  <c r="Q109" i="47" s="1"/>
  <c r="U92" i="53"/>
  <c r="U177" i="53"/>
  <c r="U200" i="53"/>
  <c r="U211" i="53"/>
  <c r="U189" i="53"/>
  <c r="V84" i="53"/>
  <c r="U225" i="53"/>
  <c r="U263" i="53" s="1"/>
  <c r="R126" i="47" s="1"/>
  <c r="V176" i="53"/>
  <c r="V188" i="53"/>
  <c r="V199" i="53"/>
  <c r="V210" i="53"/>
  <c r="W83" i="53"/>
  <c r="P220" i="53"/>
  <c r="AF86" i="53"/>
  <c r="AG89" i="53"/>
  <c r="U221" i="53"/>
  <c r="U259" i="53" s="1"/>
  <c r="R120" i="47" s="1"/>
  <c r="AH78" i="53"/>
  <c r="V162" i="53"/>
  <c r="W70" i="53"/>
  <c r="AH98" i="53"/>
  <c r="W166" i="53"/>
  <c r="X74" i="53"/>
  <c r="W167" i="53"/>
  <c r="X75" i="53"/>
  <c r="AD92" i="53"/>
  <c r="W164" i="53"/>
  <c r="X72" i="53"/>
  <c r="AE93" i="53"/>
  <c r="AD152" i="53"/>
  <c r="V182" i="53"/>
  <c r="V194" i="53"/>
  <c r="V205" i="53"/>
  <c r="V216" i="53"/>
  <c r="W89" i="53"/>
  <c r="U174" i="53"/>
  <c r="U186" i="53"/>
  <c r="U197" i="53"/>
  <c r="U208" i="53"/>
  <c r="V81" i="53"/>
  <c r="V186" i="53" s="1"/>
  <c r="T220" i="53"/>
  <c r="X157" i="53"/>
  <c r="X239" i="53" s="1"/>
  <c r="X254" i="53" s="1"/>
  <c r="U110" i="47" s="1"/>
  <c r="Y98" i="53"/>
  <c r="AG82" i="53"/>
  <c r="U155" i="53"/>
  <c r="V96" i="53"/>
  <c r="O258" i="53"/>
  <c r="L118" i="47" s="1"/>
  <c r="U152" i="53"/>
  <c r="U234" i="53" s="1"/>
  <c r="U249" i="53" s="1"/>
  <c r="R111" i="47" s="1"/>
  <c r="V93" i="53"/>
  <c r="AE81" i="53"/>
  <c r="AE156" i="53"/>
  <c r="AF97" i="53"/>
  <c r="AE153" i="53"/>
  <c r="AF94" i="53"/>
  <c r="AF73" i="53"/>
  <c r="AE155" i="53"/>
  <c r="AF96" i="53"/>
  <c r="P223" i="53"/>
  <c r="P261" i="53" s="1"/>
  <c r="M122" i="47" s="1"/>
  <c r="Q177" i="53"/>
  <c r="Q189" i="53"/>
  <c r="Q211" i="53"/>
  <c r="Q200" i="53"/>
  <c r="T154" i="53"/>
  <c r="T236" i="53" s="1"/>
  <c r="T251" i="53" s="1"/>
  <c r="Q113" i="47" s="1"/>
  <c r="U95" i="53"/>
  <c r="AG83" i="53"/>
  <c r="X170" i="53"/>
  <c r="Y78" i="53"/>
  <c r="V179" i="53"/>
  <c r="V191" i="53"/>
  <c r="V202" i="53"/>
  <c r="V213" i="53"/>
  <c r="W86" i="53"/>
  <c r="U222" i="53"/>
  <c r="U260" i="53" s="1"/>
  <c r="R121" i="47" s="1"/>
  <c r="AG70" i="53"/>
  <c r="AG99" i="53"/>
  <c r="Q174" i="53"/>
  <c r="Q233" i="53" s="1"/>
  <c r="Q248" i="53" s="1"/>
  <c r="N109" i="47" s="1"/>
  <c r="Q197" i="53"/>
  <c r="Q208" i="53"/>
  <c r="Q186" i="53"/>
  <c r="V175" i="53"/>
  <c r="V209" i="53"/>
  <c r="V187" i="53"/>
  <c r="V198" i="53"/>
  <c r="W82" i="53"/>
  <c r="AE95" i="53"/>
  <c r="AD154" i="53"/>
  <c r="W158" i="53"/>
  <c r="W240" i="53" s="1"/>
  <c r="W255" i="53" s="1"/>
  <c r="T116" i="47" s="1"/>
  <c r="X99" i="53"/>
  <c r="V165" i="53"/>
  <c r="W73" i="53"/>
  <c r="S258" i="53"/>
  <c r="P118" i="47" s="1"/>
  <c r="S245" i="53"/>
  <c r="U156" i="53"/>
  <c r="U238" i="53" s="1"/>
  <c r="U253" i="53" s="1"/>
  <c r="R117" i="47" s="1"/>
  <c r="V97" i="53"/>
  <c r="U153" i="53"/>
  <c r="U235" i="53" s="1"/>
  <c r="U250" i="53" s="1"/>
  <c r="R112" i="47" s="1"/>
  <c r="V94" i="53"/>
  <c r="AE100" i="53"/>
  <c r="AD159" i="53"/>
  <c r="V178" i="53"/>
  <c r="V201" i="53"/>
  <c r="V190" i="53"/>
  <c r="V212" i="53"/>
  <c r="W85" i="53"/>
  <c r="U237" i="53"/>
  <c r="U252" i="53" s="1"/>
  <c r="R115" i="47" s="1"/>
  <c r="AF84" i="53"/>
  <c r="Q236" i="53" l="1"/>
  <c r="Q251" i="53" s="1"/>
  <c r="N113" i="47" s="1"/>
  <c r="O245" i="53"/>
  <c r="Q100" i="53"/>
  <c r="Q159" i="53" s="1"/>
  <c r="Q241" i="53" s="1"/>
  <c r="Q256" i="53" s="1"/>
  <c r="N114" i="47" s="1"/>
  <c r="P159" i="53"/>
  <c r="P241" i="53" s="1"/>
  <c r="P256" i="53" s="1"/>
  <c r="M114" i="47" s="1"/>
  <c r="P152" i="53"/>
  <c r="P234" i="53" s="1"/>
  <c r="P249" i="53" s="1"/>
  <c r="M111" i="47" s="1"/>
  <c r="Q93" i="53"/>
  <c r="Q152" i="53" s="1"/>
  <c r="Q234" i="53" s="1"/>
  <c r="Q249" i="53" s="1"/>
  <c r="N111" i="47" s="1"/>
  <c r="Q96" i="53"/>
  <c r="Q155" i="53" s="1"/>
  <c r="Q237" i="53" s="1"/>
  <c r="Q252" i="53" s="1"/>
  <c r="N115" i="47" s="1"/>
  <c r="P155" i="53"/>
  <c r="P237" i="53" s="1"/>
  <c r="P252" i="53" s="1"/>
  <c r="M115" i="47" s="1"/>
  <c r="V221" i="53"/>
  <c r="V259" i="53" s="1"/>
  <c r="S120" i="47" s="1"/>
  <c r="Q220" i="53"/>
  <c r="AB51" i="53"/>
  <c r="AB204" i="53" s="1"/>
  <c r="V224" i="53"/>
  <c r="V262" i="53" s="1"/>
  <c r="S124" i="47" s="1"/>
  <c r="AF31" i="53"/>
  <c r="AF34" i="53" s="1"/>
  <c r="AF155" i="53" s="1"/>
  <c r="AG23" i="53"/>
  <c r="AE35" i="53"/>
  <c r="AE157" i="53"/>
  <c r="AE158" i="53"/>
  <c r="AF24" i="53"/>
  <c r="AB215" i="53"/>
  <c r="AB214" i="53"/>
  <c r="AB210" i="53"/>
  <c r="AB212" i="53"/>
  <c r="AB213" i="53"/>
  <c r="AB216" i="53"/>
  <c r="AB209" i="53"/>
  <c r="AB211" i="53"/>
  <c r="AB208" i="53"/>
  <c r="AB181" i="53"/>
  <c r="AB240" i="53" s="1"/>
  <c r="AB255" i="53" s="1"/>
  <c r="Y116" i="47" s="1"/>
  <c r="AB53" i="53"/>
  <c r="AB180" i="53"/>
  <c r="AB239" i="53" s="1"/>
  <c r="AB254" i="53" s="1"/>
  <c r="Y110" i="47" s="1"/>
  <c r="AB176" i="53"/>
  <c r="AB235" i="53" s="1"/>
  <c r="AB250" i="53" s="1"/>
  <c r="Y112" i="47" s="1"/>
  <c r="AB178" i="53"/>
  <c r="AB237" i="53" s="1"/>
  <c r="AB252" i="53" s="1"/>
  <c r="Y115" i="47" s="1"/>
  <c r="AB179" i="53"/>
  <c r="AB238" i="53" s="1"/>
  <c r="AB253" i="53" s="1"/>
  <c r="Y117" i="47" s="1"/>
  <c r="AB182" i="53"/>
  <c r="AB241" i="53" s="1"/>
  <c r="AB256" i="53" s="1"/>
  <c r="Y114" i="47" s="1"/>
  <c r="AB175" i="53"/>
  <c r="AB234" i="53" s="1"/>
  <c r="AB249" i="53" s="1"/>
  <c r="Y111" i="47" s="1"/>
  <c r="AB174" i="53"/>
  <c r="AB233" i="53" s="1"/>
  <c r="AB248" i="53" s="1"/>
  <c r="Y109" i="47" s="1"/>
  <c r="AB177" i="53"/>
  <c r="AB236" i="53" s="1"/>
  <c r="AB251" i="53" s="1"/>
  <c r="Y113" i="47" s="1"/>
  <c r="AA204" i="53"/>
  <c r="AA227" i="53" s="1"/>
  <c r="AA265" i="53" s="1"/>
  <c r="X125" i="47" s="1"/>
  <c r="AA203" i="53"/>
  <c r="AA226" i="53" s="1"/>
  <c r="AA264" i="53" s="1"/>
  <c r="X119" i="47" s="1"/>
  <c r="AA53" i="53"/>
  <c r="AD169" i="53"/>
  <c r="AD168" i="53"/>
  <c r="AD166" i="53"/>
  <c r="AD170" i="53"/>
  <c r="AD164" i="53"/>
  <c r="AD167" i="53"/>
  <c r="AD162" i="53"/>
  <c r="AD163" i="53"/>
  <c r="AD165" i="53"/>
  <c r="AD36" i="53"/>
  <c r="AD41" i="53" s="1"/>
  <c r="AB203" i="53"/>
  <c r="AB198" i="53"/>
  <c r="AB200" i="53"/>
  <c r="AB193" i="53"/>
  <c r="AB192" i="53"/>
  <c r="AB191" i="53"/>
  <c r="AB194" i="53"/>
  <c r="AB187" i="53"/>
  <c r="AB188" i="53"/>
  <c r="AB190" i="53"/>
  <c r="AB186" i="53"/>
  <c r="AB189" i="53"/>
  <c r="AC45" i="53"/>
  <c r="AC51" i="53" s="1"/>
  <c r="AC46" i="53"/>
  <c r="AC52" i="53" s="1"/>
  <c r="AC43" i="53"/>
  <c r="AC49" i="53" s="1"/>
  <c r="AC44" i="53"/>
  <c r="AC50" i="53" s="1"/>
  <c r="AE154" i="53"/>
  <c r="AF95" i="53"/>
  <c r="W175" i="53"/>
  <c r="W198" i="53"/>
  <c r="W187" i="53"/>
  <c r="W209" i="53"/>
  <c r="X82" i="53"/>
  <c r="Q258" i="53"/>
  <c r="N118" i="47" s="1"/>
  <c r="AH99" i="53"/>
  <c r="AH70" i="53"/>
  <c r="W179" i="53"/>
  <c r="W213" i="53"/>
  <c r="W191" i="53"/>
  <c r="W202" i="53"/>
  <c r="X86" i="53"/>
  <c r="Y170" i="53"/>
  <c r="Z78" i="53"/>
  <c r="U154" i="53"/>
  <c r="U236" i="53" s="1"/>
  <c r="U251" i="53" s="1"/>
  <c r="R113" i="47" s="1"/>
  <c r="V95" i="53"/>
  <c r="Q223" i="53"/>
  <c r="Q261" i="53" s="1"/>
  <c r="N122" i="47" s="1"/>
  <c r="V152" i="53"/>
  <c r="V234" i="53" s="1"/>
  <c r="V249" i="53" s="1"/>
  <c r="S111" i="47" s="1"/>
  <c r="W93" i="53"/>
  <c r="AH82" i="53"/>
  <c r="T258" i="53"/>
  <c r="Q118" i="47" s="1"/>
  <c r="T245" i="53"/>
  <c r="U220" i="53"/>
  <c r="V228" i="53"/>
  <c r="V266" i="53" s="1"/>
  <c r="S123" i="47" s="1"/>
  <c r="X164" i="53"/>
  <c r="Y72" i="53"/>
  <c r="AE92" i="53"/>
  <c r="AD151" i="53"/>
  <c r="AG86" i="53"/>
  <c r="V222" i="53"/>
  <c r="V260" i="53" s="1"/>
  <c r="S121" i="47" s="1"/>
  <c r="U223" i="53"/>
  <c r="U261" i="53" s="1"/>
  <c r="R122" i="47" s="1"/>
  <c r="U151" i="53"/>
  <c r="U233" i="53" s="1"/>
  <c r="U248" i="53" s="1"/>
  <c r="R109" i="47" s="1"/>
  <c r="V92" i="53"/>
  <c r="AH71" i="53"/>
  <c r="V159" i="53"/>
  <c r="V241" i="53" s="1"/>
  <c r="V256" i="53" s="1"/>
  <c r="S114" i="47" s="1"/>
  <c r="W100" i="53"/>
  <c r="AH72" i="53"/>
  <c r="X163" i="53"/>
  <c r="Y71" i="53"/>
  <c r="AI74" i="53"/>
  <c r="AG84" i="53"/>
  <c r="W178" i="53"/>
  <c r="W201" i="53"/>
  <c r="W212" i="53"/>
  <c r="W190" i="53"/>
  <c r="X85" i="53"/>
  <c r="AE159" i="53"/>
  <c r="AF100" i="53"/>
  <c r="V153" i="53"/>
  <c r="V235" i="53" s="1"/>
  <c r="V250" i="53" s="1"/>
  <c r="S112" i="47" s="1"/>
  <c r="W94" i="53"/>
  <c r="V156" i="53"/>
  <c r="V238" i="53" s="1"/>
  <c r="V253" i="53" s="1"/>
  <c r="S117" i="47" s="1"/>
  <c r="W97" i="53"/>
  <c r="W165" i="53"/>
  <c r="X73" i="53"/>
  <c r="X158" i="53"/>
  <c r="X240" i="53" s="1"/>
  <c r="X255" i="53" s="1"/>
  <c r="U116" i="47" s="1"/>
  <c r="Y99" i="53"/>
  <c r="V225" i="53"/>
  <c r="V263" i="53" s="1"/>
  <c r="S126" i="47" s="1"/>
  <c r="AH83" i="53"/>
  <c r="AG96" i="53"/>
  <c r="AG73" i="53"/>
  <c r="AG94" i="53"/>
  <c r="AG97" i="53"/>
  <c r="AF81" i="53"/>
  <c r="V155" i="53"/>
  <c r="V237" i="53" s="1"/>
  <c r="V252" i="53" s="1"/>
  <c r="S115" i="47" s="1"/>
  <c r="W96" i="53"/>
  <c r="Y157" i="53"/>
  <c r="Y239" i="53" s="1"/>
  <c r="Y254" i="53" s="1"/>
  <c r="V110" i="47" s="1"/>
  <c r="Z98" i="53"/>
  <c r="V174" i="53"/>
  <c r="V197" i="53"/>
  <c r="V208" i="53"/>
  <c r="W81" i="53"/>
  <c r="W182" i="53"/>
  <c r="W194" i="53"/>
  <c r="W216" i="53"/>
  <c r="W205" i="53"/>
  <c r="X89" i="53"/>
  <c r="AE152" i="53"/>
  <c r="AF93" i="53"/>
  <c r="X167" i="53"/>
  <c r="Y75" i="53"/>
  <c r="X166" i="53"/>
  <c r="Y74" i="53"/>
  <c r="AI98" i="53"/>
  <c r="W162" i="53"/>
  <c r="X70" i="53"/>
  <c r="AI78" i="53"/>
  <c r="AH89" i="53"/>
  <c r="P258" i="53"/>
  <c r="M118" i="47" s="1"/>
  <c r="W176" i="53"/>
  <c r="W188" i="53"/>
  <c r="W210" i="53"/>
  <c r="W199" i="53"/>
  <c r="X83" i="53"/>
  <c r="V177" i="53"/>
  <c r="V189" i="53"/>
  <c r="V200" i="53"/>
  <c r="V211" i="53"/>
  <c r="W84" i="53"/>
  <c r="AH75" i="53"/>
  <c r="AH85" i="53"/>
  <c r="AF156" i="53" l="1"/>
  <c r="AF153" i="53"/>
  <c r="AG24" i="53"/>
  <c r="P245" i="53"/>
  <c r="AB226" i="53"/>
  <c r="AB264" i="53" s="1"/>
  <c r="Y119" i="47" s="1"/>
  <c r="AB201" i="53"/>
  <c r="AB224" i="53" s="1"/>
  <c r="AB262" i="53" s="1"/>
  <c r="Y124" i="47" s="1"/>
  <c r="AB202" i="53"/>
  <c r="AB225" i="53" s="1"/>
  <c r="AB263" i="53" s="1"/>
  <c r="Y126" i="47" s="1"/>
  <c r="AB223" i="53"/>
  <c r="AB261" i="53" s="1"/>
  <c r="Y122" i="47" s="1"/>
  <c r="AB221" i="53"/>
  <c r="AB259" i="53" s="1"/>
  <c r="Y120" i="47" s="1"/>
  <c r="AB227" i="53"/>
  <c r="AB265" i="53" s="1"/>
  <c r="Y125" i="47" s="1"/>
  <c r="AB197" i="53"/>
  <c r="AB220" i="53" s="1"/>
  <c r="AB258" i="53" s="1"/>
  <c r="Y118" i="47" s="1"/>
  <c r="AB199" i="53"/>
  <c r="AB222" i="53" s="1"/>
  <c r="AB205" i="53"/>
  <c r="AB228" i="53" s="1"/>
  <c r="AB266" i="53" s="1"/>
  <c r="Y123" i="47" s="1"/>
  <c r="W225" i="53"/>
  <c r="W263" i="53" s="1"/>
  <c r="T126" i="47" s="1"/>
  <c r="AC192" i="53"/>
  <c r="AC193" i="53"/>
  <c r="AC190" i="53"/>
  <c r="AC188" i="53"/>
  <c r="AC187" i="53"/>
  <c r="AC194" i="53"/>
  <c r="AC191" i="53"/>
  <c r="AC186" i="53"/>
  <c r="AC189" i="53"/>
  <c r="AC214" i="53"/>
  <c r="AC215" i="53"/>
  <c r="AC210" i="53"/>
  <c r="AC213" i="53"/>
  <c r="AC209" i="53"/>
  <c r="AC212" i="53"/>
  <c r="AC216" i="53"/>
  <c r="AC211" i="53"/>
  <c r="AC208" i="53"/>
  <c r="AD46" i="53"/>
  <c r="AD52" i="53" s="1"/>
  <c r="AD45" i="53"/>
  <c r="AD51" i="53" s="1"/>
  <c r="AD44" i="53"/>
  <c r="AD50" i="53" s="1"/>
  <c r="AD43" i="53"/>
  <c r="AD49" i="53" s="1"/>
  <c r="AE169" i="53"/>
  <c r="AE168" i="53"/>
  <c r="AE170" i="53"/>
  <c r="AE166" i="53"/>
  <c r="AE162" i="53"/>
  <c r="AE167" i="53"/>
  <c r="AE163" i="53"/>
  <c r="AE164" i="53"/>
  <c r="AE36" i="53"/>
  <c r="AE41" i="53" s="1"/>
  <c r="AE165" i="53"/>
  <c r="AC53" i="53"/>
  <c r="AC181" i="53"/>
  <c r="AC240" i="53" s="1"/>
  <c r="AC255" i="53" s="1"/>
  <c r="Z116" i="47" s="1"/>
  <c r="AC180" i="53"/>
  <c r="AC239" i="53" s="1"/>
  <c r="AC254" i="53" s="1"/>
  <c r="Z110" i="47" s="1"/>
  <c r="AC175" i="53"/>
  <c r="AC234" i="53" s="1"/>
  <c r="AC249" i="53" s="1"/>
  <c r="Z111" i="47" s="1"/>
  <c r="AC182" i="53"/>
  <c r="AC241" i="53" s="1"/>
  <c r="AC256" i="53" s="1"/>
  <c r="Z114" i="47" s="1"/>
  <c r="AC176" i="53"/>
  <c r="AC235" i="53" s="1"/>
  <c r="AC250" i="53" s="1"/>
  <c r="Z112" i="47" s="1"/>
  <c r="AC178" i="53"/>
  <c r="AC237" i="53" s="1"/>
  <c r="AC252" i="53" s="1"/>
  <c r="Z115" i="47" s="1"/>
  <c r="AC179" i="53"/>
  <c r="AC238" i="53" s="1"/>
  <c r="AC253" i="53" s="1"/>
  <c r="Z117" i="47" s="1"/>
  <c r="AC174" i="53"/>
  <c r="AC233" i="53" s="1"/>
  <c r="AC248" i="53" s="1"/>
  <c r="Z109" i="47" s="1"/>
  <c r="AC177" i="53"/>
  <c r="AC236" i="53" s="1"/>
  <c r="AC251" i="53" s="1"/>
  <c r="Z113" i="47" s="1"/>
  <c r="AC203" i="53"/>
  <c r="AC204" i="53"/>
  <c r="AC199" i="53"/>
  <c r="AC198" i="53"/>
  <c r="AC201" i="53"/>
  <c r="AC205" i="53"/>
  <c r="AC202" i="53"/>
  <c r="AC197" i="53"/>
  <c r="AC200" i="53"/>
  <c r="AG31" i="53"/>
  <c r="AG34" i="53" s="1"/>
  <c r="AG155" i="53" s="1"/>
  <c r="AH23" i="53"/>
  <c r="AF35" i="53"/>
  <c r="AF157" i="53"/>
  <c r="AF158" i="53"/>
  <c r="AI85" i="53"/>
  <c r="W177" i="53"/>
  <c r="W189" i="53"/>
  <c r="W200" i="53"/>
  <c r="W211" i="53"/>
  <c r="X84" i="53"/>
  <c r="Y83" i="53"/>
  <c r="X176" i="53"/>
  <c r="X188" i="53"/>
  <c r="X210" i="53"/>
  <c r="X199" i="53"/>
  <c r="AJ78" i="53"/>
  <c r="X162" i="53"/>
  <c r="Y70" i="53"/>
  <c r="AJ98" i="53"/>
  <c r="Y166" i="53"/>
  <c r="Z74" i="53"/>
  <c r="Y167" i="53"/>
  <c r="Z75" i="53"/>
  <c r="AF152" i="53"/>
  <c r="AG93" i="53"/>
  <c r="W228" i="53"/>
  <c r="W266" i="53" s="1"/>
  <c r="T123" i="47" s="1"/>
  <c r="V220" i="53"/>
  <c r="AA98" i="53"/>
  <c r="AA157" i="53" s="1"/>
  <c r="AA239" i="53" s="1"/>
  <c r="AA254" i="53" s="1"/>
  <c r="X110" i="47" s="1"/>
  <c r="Z157" i="53"/>
  <c r="Z239" i="53" s="1"/>
  <c r="Z254" i="53" s="1"/>
  <c r="W110" i="47" s="1"/>
  <c r="W155" i="53"/>
  <c r="W237" i="53" s="1"/>
  <c r="W252" i="53" s="1"/>
  <c r="T115" i="47" s="1"/>
  <c r="X96" i="53"/>
  <c r="AG81" i="53"/>
  <c r="Y158" i="53"/>
  <c r="Y240" i="53" s="1"/>
  <c r="Y255" i="53" s="1"/>
  <c r="V116" i="47" s="1"/>
  <c r="Z99" i="53"/>
  <c r="Y73" i="53"/>
  <c r="X165" i="53"/>
  <c r="W156" i="53"/>
  <c r="X97" i="53"/>
  <c r="W153" i="53"/>
  <c r="W235" i="53" s="1"/>
  <c r="W250" i="53" s="1"/>
  <c r="T112" i="47" s="1"/>
  <c r="X94" i="53"/>
  <c r="AF159" i="53"/>
  <c r="AG100" i="53"/>
  <c r="W224" i="53"/>
  <c r="W262" i="53" s="1"/>
  <c r="T124" i="47" s="1"/>
  <c r="AH84" i="53"/>
  <c r="AJ74" i="53"/>
  <c r="Y163" i="53"/>
  <c r="Z71" i="53"/>
  <c r="AI72" i="53"/>
  <c r="W159" i="53"/>
  <c r="W241" i="53" s="1"/>
  <c r="W256" i="53" s="1"/>
  <c r="T114" i="47" s="1"/>
  <c r="X100" i="53"/>
  <c r="AI71" i="53"/>
  <c r="V151" i="53"/>
  <c r="V233" i="53" s="1"/>
  <c r="V248" i="53" s="1"/>
  <c r="S109" i="47" s="1"/>
  <c r="W92" i="53"/>
  <c r="AE151" i="53"/>
  <c r="AF92" i="53"/>
  <c r="U258" i="53"/>
  <c r="R118" i="47" s="1"/>
  <c r="U245" i="53"/>
  <c r="AI82" i="53"/>
  <c r="AA78" i="53"/>
  <c r="AA170" i="53" s="1"/>
  <c r="Z170" i="53"/>
  <c r="AI70" i="53"/>
  <c r="AI99" i="53"/>
  <c r="Q245" i="53"/>
  <c r="AF154" i="53"/>
  <c r="AG95" i="53"/>
  <c r="AI75" i="53"/>
  <c r="V223" i="53"/>
  <c r="V261" i="53" s="1"/>
  <c r="S122" i="47" s="1"/>
  <c r="W222" i="53"/>
  <c r="W260" i="53" s="1"/>
  <c r="T121" i="47" s="1"/>
  <c r="AI89" i="53"/>
  <c r="X182" i="53"/>
  <c r="X194" i="53"/>
  <c r="X205" i="53"/>
  <c r="X216" i="53"/>
  <c r="Y89" i="53"/>
  <c r="W174" i="53"/>
  <c r="W197" i="53"/>
  <c r="W208" i="53"/>
  <c r="W186" i="53"/>
  <c r="X81" i="53"/>
  <c r="AH97" i="53"/>
  <c r="AH94" i="53"/>
  <c r="AH73" i="53"/>
  <c r="AH96" i="53"/>
  <c r="AI83" i="53"/>
  <c r="X178" i="53"/>
  <c r="X190" i="53"/>
  <c r="X201" i="53"/>
  <c r="X212" i="53"/>
  <c r="Y85" i="53"/>
  <c r="AH86" i="53"/>
  <c r="Y164" i="53"/>
  <c r="Z72" i="53"/>
  <c r="W152" i="53"/>
  <c r="W234" i="53" s="1"/>
  <c r="W249" i="53" s="1"/>
  <c r="T111" i="47" s="1"/>
  <c r="X93" i="53"/>
  <c r="V154" i="53"/>
  <c r="V236" i="53" s="1"/>
  <c r="V251" i="53" s="1"/>
  <c r="S113" i="47" s="1"/>
  <c r="W95" i="53"/>
  <c r="X179" i="53"/>
  <c r="X191" i="53"/>
  <c r="X202" i="53"/>
  <c r="X213" i="53"/>
  <c r="Y86" i="53"/>
  <c r="W238" i="53"/>
  <c r="W253" i="53" s="1"/>
  <c r="T117" i="47" s="1"/>
  <c r="Y82" i="53"/>
  <c r="X175" i="53"/>
  <c r="X187" i="53"/>
  <c r="X209" i="53"/>
  <c r="X198" i="53"/>
  <c r="W221" i="53"/>
  <c r="W259" i="53" s="1"/>
  <c r="T120" i="47" s="1"/>
  <c r="AG153" i="53" l="1"/>
  <c r="AG156" i="53"/>
  <c r="AB260" i="53"/>
  <c r="Y121" i="47" s="1"/>
  <c r="AB245" i="53"/>
  <c r="W220" i="53"/>
  <c r="AH31" i="53"/>
  <c r="AH34" i="53" s="1"/>
  <c r="AI23" i="53"/>
  <c r="AG35" i="53"/>
  <c r="AG157" i="53"/>
  <c r="AG158" i="53"/>
  <c r="AH24" i="53"/>
  <c r="AD53" i="53"/>
  <c r="AD181" i="53"/>
  <c r="AD240" i="53" s="1"/>
  <c r="AD255" i="53" s="1"/>
  <c r="AA116" i="47" s="1"/>
  <c r="AD180" i="53"/>
  <c r="AD239" i="53" s="1"/>
  <c r="AD254" i="53" s="1"/>
  <c r="AA110" i="47" s="1"/>
  <c r="AD182" i="53"/>
  <c r="AD241" i="53" s="1"/>
  <c r="AD256" i="53" s="1"/>
  <c r="AA114" i="47" s="1"/>
  <c r="AD175" i="53"/>
  <c r="AD234" i="53" s="1"/>
  <c r="AD249" i="53" s="1"/>
  <c r="AA111" i="47" s="1"/>
  <c r="AD178" i="53"/>
  <c r="AD237" i="53" s="1"/>
  <c r="AD252" i="53" s="1"/>
  <c r="AA115" i="47" s="1"/>
  <c r="AD176" i="53"/>
  <c r="AD235" i="53" s="1"/>
  <c r="AD250" i="53" s="1"/>
  <c r="AA112" i="47" s="1"/>
  <c r="AD179" i="53"/>
  <c r="AD238" i="53" s="1"/>
  <c r="AD253" i="53" s="1"/>
  <c r="AA117" i="47" s="1"/>
  <c r="AD177" i="53"/>
  <c r="AD236" i="53" s="1"/>
  <c r="AD251" i="53" s="1"/>
  <c r="AA113" i="47" s="1"/>
  <c r="AD174" i="53"/>
  <c r="AD233" i="53" s="1"/>
  <c r="AD248" i="53" s="1"/>
  <c r="AA109" i="47" s="1"/>
  <c r="AD203" i="53"/>
  <c r="AD204" i="53"/>
  <c r="AD199" i="53"/>
  <c r="AD201" i="53"/>
  <c r="AD205" i="53"/>
  <c r="AD198" i="53"/>
  <c r="AD200" i="53"/>
  <c r="AD202" i="53"/>
  <c r="AD197" i="53"/>
  <c r="AC220" i="53"/>
  <c r="AC228" i="53"/>
  <c r="AC266" i="53" s="1"/>
  <c r="Z123" i="47" s="1"/>
  <c r="AC222" i="53"/>
  <c r="AC260" i="53" s="1"/>
  <c r="Z121" i="47" s="1"/>
  <c r="AC227" i="53"/>
  <c r="AC265" i="53" s="1"/>
  <c r="Z125" i="47" s="1"/>
  <c r="X222" i="53"/>
  <c r="X260" i="53" s="1"/>
  <c r="U121" i="47" s="1"/>
  <c r="AF168" i="53"/>
  <c r="AF169" i="53"/>
  <c r="AF170" i="53"/>
  <c r="AF166" i="53"/>
  <c r="AF164" i="53"/>
  <c r="AF163" i="53"/>
  <c r="AF167" i="53"/>
  <c r="AF162" i="53"/>
  <c r="AF165" i="53"/>
  <c r="AF36" i="53"/>
  <c r="AF41" i="53" s="1"/>
  <c r="AE45" i="53"/>
  <c r="AE51" i="53" s="1"/>
  <c r="AE44" i="53"/>
  <c r="AE50" i="53" s="1"/>
  <c r="AE43" i="53"/>
  <c r="AE49" i="53" s="1"/>
  <c r="AE46" i="53"/>
  <c r="AE52" i="53" s="1"/>
  <c r="AD193" i="53"/>
  <c r="AD192" i="53"/>
  <c r="AD190" i="53"/>
  <c r="AD194" i="53"/>
  <c r="AD188" i="53"/>
  <c r="AD187" i="53"/>
  <c r="AD191" i="53"/>
  <c r="AD189" i="53"/>
  <c r="AD186" i="53"/>
  <c r="AD215" i="53"/>
  <c r="AD214" i="53"/>
  <c r="AD212" i="53"/>
  <c r="AD216" i="53"/>
  <c r="AD210" i="53"/>
  <c r="AD209" i="53"/>
  <c r="AD211" i="53"/>
  <c r="AD213" i="53"/>
  <c r="AD208" i="53"/>
  <c r="AC223" i="53"/>
  <c r="AC261" i="53" s="1"/>
  <c r="Z122" i="47" s="1"/>
  <c r="AC225" i="53"/>
  <c r="AC263" i="53" s="1"/>
  <c r="Z126" i="47" s="1"/>
  <c r="AC221" i="53"/>
  <c r="AC259" i="53" s="1"/>
  <c r="Z120" i="47" s="1"/>
  <c r="AC224" i="53"/>
  <c r="AC262" i="53" s="1"/>
  <c r="Z124" i="47" s="1"/>
  <c r="AC226" i="53"/>
  <c r="AC264" i="53" s="1"/>
  <c r="Z119" i="47" s="1"/>
  <c r="X221" i="53"/>
  <c r="X259" i="53" s="1"/>
  <c r="U120" i="47" s="1"/>
  <c r="X225" i="53"/>
  <c r="X263" i="53" s="1"/>
  <c r="U126" i="47" s="1"/>
  <c r="W154" i="53"/>
  <c r="W236" i="53" s="1"/>
  <c r="W251" i="53" s="1"/>
  <c r="T113" i="47" s="1"/>
  <c r="X95" i="53"/>
  <c r="X152" i="53"/>
  <c r="X234" i="53" s="1"/>
  <c r="X249" i="53" s="1"/>
  <c r="U111" i="47" s="1"/>
  <c r="Y93" i="53"/>
  <c r="AA72" i="53"/>
  <c r="AA164" i="53" s="1"/>
  <c r="Z164" i="53"/>
  <c r="X224" i="53"/>
  <c r="X262" i="53" s="1"/>
  <c r="U124" i="47" s="1"/>
  <c r="AJ83" i="53"/>
  <c r="X174" i="53"/>
  <c r="X186" i="53"/>
  <c r="X197" i="53"/>
  <c r="X208" i="53"/>
  <c r="Y81" i="53"/>
  <c r="Y194" i="53"/>
  <c r="Y182" i="53"/>
  <c r="Y205" i="53"/>
  <c r="Y216" i="53"/>
  <c r="Z89" i="53"/>
  <c r="AJ75" i="53"/>
  <c r="AJ99" i="53"/>
  <c r="AF151" i="53"/>
  <c r="AG92" i="53"/>
  <c r="W151" i="53"/>
  <c r="W233" i="53" s="1"/>
  <c r="X92" i="53"/>
  <c r="AJ71" i="53"/>
  <c r="X159" i="53"/>
  <c r="X241" i="53" s="1"/>
  <c r="X256" i="53" s="1"/>
  <c r="U114" i="47" s="1"/>
  <c r="Y100" i="53"/>
  <c r="AJ72" i="53"/>
  <c r="AA71" i="53"/>
  <c r="AA163" i="53" s="1"/>
  <c r="Z163" i="53"/>
  <c r="AI84" i="53"/>
  <c r="AG159" i="53"/>
  <c r="AH100" i="53"/>
  <c r="X153" i="53"/>
  <c r="X235" i="53" s="1"/>
  <c r="X250" i="53" s="1"/>
  <c r="U112" i="47" s="1"/>
  <c r="Y94" i="53"/>
  <c r="X156" i="53"/>
  <c r="X238" i="53" s="1"/>
  <c r="X253" i="53" s="1"/>
  <c r="U117" i="47" s="1"/>
  <c r="Y97" i="53"/>
  <c r="AA99" i="53"/>
  <c r="AA158" i="53" s="1"/>
  <c r="AA240" i="53" s="1"/>
  <c r="AA255" i="53" s="1"/>
  <c r="X116" i="47" s="1"/>
  <c r="Z158" i="53"/>
  <c r="Z240" i="53" s="1"/>
  <c r="Z255" i="53" s="1"/>
  <c r="W116" i="47" s="1"/>
  <c r="X155" i="53"/>
  <c r="Y96" i="53"/>
  <c r="V258" i="53"/>
  <c r="S118" i="47" s="1"/>
  <c r="V245" i="53"/>
  <c r="AG152" i="53"/>
  <c r="AH93" i="53"/>
  <c r="AA75" i="53"/>
  <c r="AA167" i="53" s="1"/>
  <c r="Z167" i="53"/>
  <c r="AA74" i="53"/>
  <c r="AA166" i="53" s="1"/>
  <c r="Z166" i="53"/>
  <c r="Y162" i="53"/>
  <c r="Z70" i="53"/>
  <c r="W223" i="53"/>
  <c r="W261" i="53" s="1"/>
  <c r="T122" i="47" s="1"/>
  <c r="AJ85" i="53"/>
  <c r="Y175" i="53"/>
  <c r="Y187" i="53"/>
  <c r="Y198" i="53"/>
  <c r="Y209" i="53"/>
  <c r="Z82" i="53"/>
  <c r="Z86" i="53"/>
  <c r="Y191" i="53"/>
  <c r="Y179" i="53"/>
  <c r="Y202" i="53"/>
  <c r="Y213" i="53"/>
  <c r="AI86" i="53"/>
  <c r="Z85" i="53"/>
  <c r="Y178" i="53"/>
  <c r="Y190" i="53"/>
  <c r="Y201" i="53"/>
  <c r="Y212" i="53"/>
  <c r="X237" i="53"/>
  <c r="X252" i="53" s="1"/>
  <c r="U115" i="47" s="1"/>
  <c r="AH155" i="53"/>
  <c r="AI96" i="53"/>
  <c r="AI73" i="53"/>
  <c r="AH153" i="53"/>
  <c r="AI94" i="53"/>
  <c r="AH156" i="53"/>
  <c r="AI97" i="53"/>
  <c r="W258" i="53"/>
  <c r="T118" i="47" s="1"/>
  <c r="X228" i="53"/>
  <c r="X266" i="53" s="1"/>
  <c r="U123" i="47" s="1"/>
  <c r="AJ89" i="53"/>
  <c r="AG154" i="53"/>
  <c r="AH95" i="53"/>
  <c r="AJ70" i="53"/>
  <c r="AJ82" i="53"/>
  <c r="AK74" i="53"/>
  <c r="Y165" i="53"/>
  <c r="Z73" i="53"/>
  <c r="AH81" i="53"/>
  <c r="AK98" i="53"/>
  <c r="AK78" i="53"/>
  <c r="Y176" i="53"/>
  <c r="Y188" i="53"/>
  <c r="Y199" i="53"/>
  <c r="Y210" i="53"/>
  <c r="Z83" i="53"/>
  <c r="Y84" i="53"/>
  <c r="X177" i="53"/>
  <c r="X189" i="53"/>
  <c r="X211" i="53"/>
  <c r="X200" i="53"/>
  <c r="AI24" i="53" l="1"/>
  <c r="X220" i="53"/>
  <c r="X258" i="53" s="1"/>
  <c r="U118" i="47" s="1"/>
  <c r="Y222" i="53"/>
  <c r="Y260" i="53" s="1"/>
  <c r="V121" i="47" s="1"/>
  <c r="Y225" i="53"/>
  <c r="Y263" i="53" s="1"/>
  <c r="V126" i="47" s="1"/>
  <c r="Y228" i="53"/>
  <c r="Y266" i="53" s="1"/>
  <c r="V123" i="47" s="1"/>
  <c r="AD223" i="53"/>
  <c r="AD261" i="53" s="1"/>
  <c r="AA122" i="47" s="1"/>
  <c r="AD221" i="53"/>
  <c r="AD259" i="53" s="1"/>
  <c r="AA120" i="47" s="1"/>
  <c r="AD228" i="53"/>
  <c r="AD266" i="53" s="1"/>
  <c r="AA123" i="47" s="1"/>
  <c r="AD226" i="53"/>
  <c r="AD264" i="53" s="1"/>
  <c r="AA119" i="47" s="1"/>
  <c r="AE215" i="53"/>
  <c r="AE214" i="53"/>
  <c r="AE209" i="53"/>
  <c r="AE210" i="53"/>
  <c r="AE216" i="53"/>
  <c r="AE212" i="53"/>
  <c r="AE213" i="53"/>
  <c r="AE211" i="53"/>
  <c r="AE208" i="53"/>
  <c r="AE192" i="53"/>
  <c r="AE193" i="53"/>
  <c r="AE187" i="53"/>
  <c r="AE194" i="53"/>
  <c r="AE188" i="53"/>
  <c r="AE190" i="53"/>
  <c r="AE191" i="53"/>
  <c r="AE189" i="53"/>
  <c r="AE186" i="53"/>
  <c r="AF45" i="53"/>
  <c r="AF51" i="53" s="1"/>
  <c r="AF46" i="53"/>
  <c r="AF52" i="53" s="1"/>
  <c r="AF44" i="53"/>
  <c r="AF50" i="53" s="1"/>
  <c r="AF43" i="53"/>
  <c r="AF49" i="53" s="1"/>
  <c r="AG169" i="53"/>
  <c r="AG168" i="53"/>
  <c r="AG166" i="53"/>
  <c r="AG170" i="53"/>
  <c r="AG163" i="53"/>
  <c r="AG164" i="53"/>
  <c r="AG162" i="53"/>
  <c r="AG167" i="53"/>
  <c r="AG36" i="53"/>
  <c r="AG41" i="53" s="1"/>
  <c r="AG165" i="53"/>
  <c r="AD220" i="53"/>
  <c r="AD225" i="53"/>
  <c r="AD263" i="53" s="1"/>
  <c r="AA126" i="47" s="1"/>
  <c r="AD222" i="53"/>
  <c r="AD260" i="53" s="1"/>
  <c r="AA121" i="47" s="1"/>
  <c r="AD224" i="53"/>
  <c r="AD262" i="53" s="1"/>
  <c r="AA124" i="47" s="1"/>
  <c r="AD227" i="53"/>
  <c r="AD265" i="53" s="1"/>
  <c r="AA125" i="47" s="1"/>
  <c r="AE53" i="53"/>
  <c r="AE180" i="53"/>
  <c r="AE239" i="53" s="1"/>
  <c r="AE254" i="53" s="1"/>
  <c r="AB110" i="47" s="1"/>
  <c r="AE181" i="53"/>
  <c r="AE240" i="53" s="1"/>
  <c r="AE255" i="53" s="1"/>
  <c r="AB116" i="47" s="1"/>
  <c r="AE176" i="53"/>
  <c r="AE235" i="53" s="1"/>
  <c r="AE250" i="53" s="1"/>
  <c r="AB112" i="47" s="1"/>
  <c r="AE178" i="53"/>
  <c r="AE237" i="53" s="1"/>
  <c r="AE252" i="53" s="1"/>
  <c r="AB115" i="47" s="1"/>
  <c r="AE175" i="53"/>
  <c r="AE234" i="53" s="1"/>
  <c r="AE249" i="53" s="1"/>
  <c r="AB111" i="47" s="1"/>
  <c r="AE182" i="53"/>
  <c r="AE241" i="53" s="1"/>
  <c r="AE256" i="53" s="1"/>
  <c r="AB114" i="47" s="1"/>
  <c r="AE179" i="53"/>
  <c r="AE238" i="53" s="1"/>
  <c r="AE253" i="53" s="1"/>
  <c r="AB117" i="47" s="1"/>
  <c r="AE177" i="53"/>
  <c r="AE236" i="53" s="1"/>
  <c r="AE251" i="53" s="1"/>
  <c r="AB113" i="47" s="1"/>
  <c r="AE174" i="53"/>
  <c r="AE233" i="53" s="1"/>
  <c r="AE248" i="53" s="1"/>
  <c r="AB109" i="47" s="1"/>
  <c r="AE203" i="53"/>
  <c r="AE204" i="53"/>
  <c r="AE205" i="53"/>
  <c r="AE201" i="53"/>
  <c r="AE198" i="53"/>
  <c r="AE199" i="53"/>
  <c r="AE200" i="53"/>
  <c r="AE202" i="53"/>
  <c r="AE197" i="53"/>
  <c r="AC245" i="53"/>
  <c r="AC258" i="53"/>
  <c r="Z118" i="47" s="1"/>
  <c r="AI31" i="53"/>
  <c r="AI34" i="53" s="1"/>
  <c r="AI156" i="53" s="1"/>
  <c r="AJ23" i="53"/>
  <c r="AH35" i="53"/>
  <c r="AH157" i="53"/>
  <c r="AH158" i="53"/>
  <c r="W248" i="53"/>
  <c r="T109" i="47" s="1"/>
  <c r="W245" i="53"/>
  <c r="AA83" i="53"/>
  <c r="Z188" i="53"/>
  <c r="Z176" i="53"/>
  <c r="Z199" i="53"/>
  <c r="Z210" i="53"/>
  <c r="Z165" i="53"/>
  <c r="AA73" i="53"/>
  <c r="AA165" i="53" s="1"/>
  <c r="AK70" i="53"/>
  <c r="AK89" i="53"/>
  <c r="AJ97" i="53"/>
  <c r="AJ94" i="53"/>
  <c r="AJ73" i="53"/>
  <c r="AJ96" i="53"/>
  <c r="AI155" i="53"/>
  <c r="Y224" i="53"/>
  <c r="Y262" i="53" s="1"/>
  <c r="V124" i="47" s="1"/>
  <c r="Z190" i="53"/>
  <c r="Z178" i="53"/>
  <c r="Z201" i="53"/>
  <c r="Z212" i="53"/>
  <c r="AA85" i="53"/>
  <c r="AA82" i="53"/>
  <c r="Z187" i="53"/>
  <c r="Z175" i="53"/>
  <c r="Z198" i="53"/>
  <c r="Z209" i="53"/>
  <c r="AK85" i="53"/>
  <c r="Y156" i="53"/>
  <c r="Y238" i="53" s="1"/>
  <c r="Y253" i="53" s="1"/>
  <c r="V117" i="47" s="1"/>
  <c r="Z97" i="53"/>
  <c r="Y153" i="53"/>
  <c r="Y235" i="53" s="1"/>
  <c r="Y250" i="53" s="1"/>
  <c r="V112" i="47" s="1"/>
  <c r="Z94" i="53"/>
  <c r="AH159" i="53"/>
  <c r="AI100" i="53"/>
  <c r="Y159" i="53"/>
  <c r="Y241" i="53" s="1"/>
  <c r="Y256" i="53" s="1"/>
  <c r="V114" i="47" s="1"/>
  <c r="Z100" i="53"/>
  <c r="X151" i="53"/>
  <c r="X233" i="53" s="1"/>
  <c r="X248" i="53" s="1"/>
  <c r="U109" i="47" s="1"/>
  <c r="Y92" i="53"/>
  <c r="AG151" i="53"/>
  <c r="AH92" i="53"/>
  <c r="AA89" i="53"/>
  <c r="Z194" i="53"/>
  <c r="Z182" i="53"/>
  <c r="Z205" i="53"/>
  <c r="Z216" i="53"/>
  <c r="Y186" i="53"/>
  <c r="Y174" i="53"/>
  <c r="Y197" i="53"/>
  <c r="Y208" i="53"/>
  <c r="Z81" i="53"/>
  <c r="X223" i="53"/>
  <c r="X261" i="53" s="1"/>
  <c r="U122" i="47" s="1"/>
  <c r="Y189" i="53"/>
  <c r="Y177" i="53"/>
  <c r="Y200" i="53"/>
  <c r="Y211" i="53"/>
  <c r="Z84" i="53"/>
  <c r="AL78" i="53"/>
  <c r="AL98" i="53"/>
  <c r="AI81" i="53"/>
  <c r="AL74" i="53"/>
  <c r="AK82" i="53"/>
  <c r="AH154" i="53"/>
  <c r="AI95" i="53"/>
  <c r="AJ86" i="53"/>
  <c r="Z179" i="53"/>
  <c r="Z191" i="53"/>
  <c r="Z202" i="53"/>
  <c r="Z213" i="53"/>
  <c r="AA86" i="53"/>
  <c r="Y221" i="53"/>
  <c r="Y259" i="53" s="1"/>
  <c r="V120" i="47" s="1"/>
  <c r="AA70" i="53"/>
  <c r="AA162" i="53" s="1"/>
  <c r="Z162" i="53"/>
  <c r="AH152" i="53"/>
  <c r="AI93" i="53"/>
  <c r="Y155" i="53"/>
  <c r="Y237" i="53" s="1"/>
  <c r="Y252" i="53" s="1"/>
  <c r="V115" i="47" s="1"/>
  <c r="Z96" i="53"/>
  <c r="AJ84" i="53"/>
  <c r="AK72" i="53"/>
  <c r="AK71" i="53"/>
  <c r="AK99" i="53"/>
  <c r="AK75" i="53"/>
  <c r="AK83" i="53"/>
  <c r="Y152" i="53"/>
  <c r="Y234" i="53" s="1"/>
  <c r="Y249" i="53" s="1"/>
  <c r="V111" i="47" s="1"/>
  <c r="Z93" i="53"/>
  <c r="X154" i="53"/>
  <c r="X236" i="53" s="1"/>
  <c r="Y95" i="53"/>
  <c r="AI153" i="53" l="1"/>
  <c r="Z225" i="53"/>
  <c r="Z263" i="53" s="1"/>
  <c r="W126" i="47" s="1"/>
  <c r="Y223" i="53"/>
  <c r="Y261" i="53" s="1"/>
  <c r="V122" i="47" s="1"/>
  <c r="Y220" i="53"/>
  <c r="AH168" i="53"/>
  <c r="AH169" i="53"/>
  <c r="AH166" i="53"/>
  <c r="AH170" i="53"/>
  <c r="AH164" i="53"/>
  <c r="AH163" i="53"/>
  <c r="AH162" i="53"/>
  <c r="AH167" i="53"/>
  <c r="AH36" i="53"/>
  <c r="AH41" i="53" s="1"/>
  <c r="AH165" i="53"/>
  <c r="AG46" i="53"/>
  <c r="AG52" i="53" s="1"/>
  <c r="AG43" i="53"/>
  <c r="AG49" i="53" s="1"/>
  <c r="AG44" i="53"/>
  <c r="AG50" i="53" s="1"/>
  <c r="AG45" i="53"/>
  <c r="AG51" i="53" s="1"/>
  <c r="AF192" i="53"/>
  <c r="AF193" i="53"/>
  <c r="AF194" i="53"/>
  <c r="AF188" i="53"/>
  <c r="AF190" i="53"/>
  <c r="AF187" i="53"/>
  <c r="AF191" i="53"/>
  <c r="AF189" i="53"/>
  <c r="AF186" i="53"/>
  <c r="AF203" i="53"/>
  <c r="AF204" i="53"/>
  <c r="AF201" i="53"/>
  <c r="AF198" i="53"/>
  <c r="AF205" i="53"/>
  <c r="AF199" i="53"/>
  <c r="AF200" i="53"/>
  <c r="AF202" i="53"/>
  <c r="AF197" i="53"/>
  <c r="AE223" i="53"/>
  <c r="AE261" i="53" s="1"/>
  <c r="AB122" i="47" s="1"/>
  <c r="AE224" i="53"/>
  <c r="AE262" i="53" s="1"/>
  <c r="AB124" i="47" s="1"/>
  <c r="AE228" i="53"/>
  <c r="AE266" i="53" s="1"/>
  <c r="AB123" i="47" s="1"/>
  <c r="AE227" i="53"/>
  <c r="AE265" i="53" s="1"/>
  <c r="AB125" i="47" s="1"/>
  <c r="AJ31" i="53"/>
  <c r="AJ34" i="53" s="1"/>
  <c r="AJ153" i="53" s="1"/>
  <c r="AK23" i="53"/>
  <c r="AI35" i="53"/>
  <c r="AI157" i="53"/>
  <c r="AI158" i="53"/>
  <c r="AJ24" i="53"/>
  <c r="AK24" i="53" s="1"/>
  <c r="AD258" i="53"/>
  <c r="AA118" i="47" s="1"/>
  <c r="AD245" i="53"/>
  <c r="AF53" i="53"/>
  <c r="AF181" i="53"/>
  <c r="AF240" i="53" s="1"/>
  <c r="AF255" i="53" s="1"/>
  <c r="AC116" i="47" s="1"/>
  <c r="AF180" i="53"/>
  <c r="AF239" i="53" s="1"/>
  <c r="AF254" i="53" s="1"/>
  <c r="AC110" i="47" s="1"/>
  <c r="AF178" i="53"/>
  <c r="AF237" i="53" s="1"/>
  <c r="AF252" i="53" s="1"/>
  <c r="AC115" i="47" s="1"/>
  <c r="AF182" i="53"/>
  <c r="AF241" i="53" s="1"/>
  <c r="AF256" i="53" s="1"/>
  <c r="AC114" i="47" s="1"/>
  <c r="AF175" i="53"/>
  <c r="AF234" i="53" s="1"/>
  <c r="AF249" i="53" s="1"/>
  <c r="AC111" i="47" s="1"/>
  <c r="AF176" i="53"/>
  <c r="AF235" i="53" s="1"/>
  <c r="AF250" i="53" s="1"/>
  <c r="AC112" i="47" s="1"/>
  <c r="AF179" i="53"/>
  <c r="AF238" i="53" s="1"/>
  <c r="AF253" i="53" s="1"/>
  <c r="AC117" i="47" s="1"/>
  <c r="AF177" i="53"/>
  <c r="AF236" i="53" s="1"/>
  <c r="AF251" i="53" s="1"/>
  <c r="AC113" i="47" s="1"/>
  <c r="AF174" i="53"/>
  <c r="AF233" i="53" s="1"/>
  <c r="AF248" i="53" s="1"/>
  <c r="AC109" i="47" s="1"/>
  <c r="AF215" i="53"/>
  <c r="AF214" i="53"/>
  <c r="AF212" i="53"/>
  <c r="AF216" i="53"/>
  <c r="AF209" i="53"/>
  <c r="AF210" i="53"/>
  <c r="AF211" i="53"/>
  <c r="AF213" i="53"/>
  <c r="AF208" i="53"/>
  <c r="AE220" i="53"/>
  <c r="AE225" i="53"/>
  <c r="AE263" i="53" s="1"/>
  <c r="AB126" i="47" s="1"/>
  <c r="AE222" i="53"/>
  <c r="AE260" i="53" s="1"/>
  <c r="AB121" i="47" s="1"/>
  <c r="AE221" i="53"/>
  <c r="AE259" i="53" s="1"/>
  <c r="AB120" i="47" s="1"/>
  <c r="AE226" i="53"/>
  <c r="AE264" i="53" s="1"/>
  <c r="AB119" i="47" s="1"/>
  <c r="X251" i="53"/>
  <c r="U113" i="47" s="1"/>
  <c r="X245" i="53"/>
  <c r="AL75" i="53"/>
  <c r="AL99" i="53"/>
  <c r="AL71" i="53"/>
  <c r="AL72" i="53"/>
  <c r="AA96" i="53"/>
  <c r="AA155" i="53" s="1"/>
  <c r="Z155" i="53"/>
  <c r="Z237" i="53" s="1"/>
  <c r="Z252" i="53" s="1"/>
  <c r="W115" i="47" s="1"/>
  <c r="AJ93" i="53"/>
  <c r="AI152" i="53"/>
  <c r="AA202" i="53"/>
  <c r="AA179" i="53"/>
  <c r="AA191" i="53"/>
  <c r="AA213" i="53"/>
  <c r="AJ95" i="53"/>
  <c r="AI154" i="53"/>
  <c r="AL82" i="53"/>
  <c r="AM74" i="53"/>
  <c r="AJ81" i="53"/>
  <c r="AM98" i="53"/>
  <c r="AM78" i="53"/>
  <c r="Z177" i="53"/>
  <c r="Z200" i="53"/>
  <c r="Z189" i="53"/>
  <c r="Z211" i="53"/>
  <c r="AA84" i="53"/>
  <c r="AA81" i="53"/>
  <c r="Z186" i="53"/>
  <c r="Z197" i="53"/>
  <c r="Z174" i="53"/>
  <c r="Z208" i="53"/>
  <c r="Z228" i="53"/>
  <c r="Z266" i="53" s="1"/>
  <c r="W123" i="47" s="1"/>
  <c r="AH151" i="53"/>
  <c r="AI92" i="53"/>
  <c r="Y151" i="53"/>
  <c r="Y233" i="53" s="1"/>
  <c r="Y248" i="53" s="1"/>
  <c r="V109" i="47" s="1"/>
  <c r="Z92" i="53"/>
  <c r="AA100" i="53"/>
  <c r="AA159" i="53" s="1"/>
  <c r="Z159" i="53"/>
  <c r="Z241" i="53" s="1"/>
  <c r="Z256" i="53" s="1"/>
  <c r="W114" i="47" s="1"/>
  <c r="Z221" i="53"/>
  <c r="Z259" i="53" s="1"/>
  <c r="W120" i="47" s="1"/>
  <c r="AA175" i="53"/>
  <c r="AA198" i="53"/>
  <c r="AA187" i="53"/>
  <c r="AA209" i="53"/>
  <c r="AA178" i="53"/>
  <c r="AA201" i="53"/>
  <c r="AA190" i="53"/>
  <c r="AA212" i="53"/>
  <c r="Z224" i="53"/>
  <c r="Z262" i="53" s="1"/>
  <c r="W124" i="47" s="1"/>
  <c r="AL89" i="53"/>
  <c r="AL70" i="53"/>
  <c r="Z222" i="53"/>
  <c r="Z260" i="53" s="1"/>
  <c r="W121" i="47" s="1"/>
  <c r="AA176" i="53"/>
  <c r="AA199" i="53"/>
  <c r="AA188" i="53"/>
  <c r="AA210" i="53"/>
  <c r="Y154" i="53"/>
  <c r="Y236" i="53" s="1"/>
  <c r="Y251" i="53" s="1"/>
  <c r="V113" i="47" s="1"/>
  <c r="Z95" i="53"/>
  <c r="AA93" i="53"/>
  <c r="AA152" i="53" s="1"/>
  <c r="Z152" i="53"/>
  <c r="Z234" i="53" s="1"/>
  <c r="Z249" i="53" s="1"/>
  <c r="W111" i="47" s="1"/>
  <c r="AL83" i="53"/>
  <c r="AK84" i="53"/>
  <c r="AK86" i="53"/>
  <c r="Y258" i="53"/>
  <c r="V118" i="47" s="1"/>
  <c r="AA182" i="53"/>
  <c r="AA205" i="53"/>
  <c r="AA194" i="53"/>
  <c r="AA216" i="53"/>
  <c r="AJ100" i="53"/>
  <c r="AI159" i="53"/>
  <c r="AA94" i="53"/>
  <c r="AA153" i="53" s="1"/>
  <c r="Z153" i="53"/>
  <c r="Z235" i="53" s="1"/>
  <c r="Z250" i="53" s="1"/>
  <c r="W112" i="47" s="1"/>
  <c r="AA97" i="53"/>
  <c r="AA156" i="53" s="1"/>
  <c r="Z156" i="53"/>
  <c r="Z238" i="53" s="1"/>
  <c r="Z253" i="53" s="1"/>
  <c r="W117" i="47" s="1"/>
  <c r="AL85" i="53"/>
  <c r="AJ155" i="53"/>
  <c r="AK96" i="53"/>
  <c r="AK73" i="53"/>
  <c r="AK94" i="53"/>
  <c r="AK97" i="53"/>
  <c r="AA241" i="53" l="1"/>
  <c r="AA256" i="53" s="1"/>
  <c r="X114" i="47" s="1"/>
  <c r="AJ156" i="53"/>
  <c r="AA222" i="53"/>
  <c r="AA260" i="53" s="1"/>
  <c r="X121" i="47" s="1"/>
  <c r="AA224" i="53"/>
  <c r="AA262" i="53" s="1"/>
  <c r="X124" i="47" s="1"/>
  <c r="AA237" i="53"/>
  <c r="AA252" i="53" s="1"/>
  <c r="X115" i="47" s="1"/>
  <c r="AA221" i="53"/>
  <c r="AA259" i="53" s="1"/>
  <c r="X120" i="47" s="1"/>
  <c r="AA225" i="53"/>
  <c r="AA263" i="53" s="1"/>
  <c r="X126" i="47" s="1"/>
  <c r="AI169" i="53"/>
  <c r="AI168" i="53"/>
  <c r="AI166" i="53"/>
  <c r="AI170" i="53"/>
  <c r="AI167" i="53"/>
  <c r="AI163" i="53"/>
  <c r="AI164" i="53"/>
  <c r="AI162" i="53"/>
  <c r="AI36" i="53"/>
  <c r="AI41" i="53" s="1"/>
  <c r="AI165" i="53"/>
  <c r="AF223" i="53"/>
  <c r="AF261" i="53" s="1"/>
  <c r="AC122" i="47" s="1"/>
  <c r="AF221" i="53"/>
  <c r="AF259" i="53" s="1"/>
  <c r="AC120" i="47" s="1"/>
  <c r="AF222" i="53"/>
  <c r="AF260" i="53" s="1"/>
  <c r="AC121" i="47" s="1"/>
  <c r="AF227" i="53"/>
  <c r="AF265" i="53" s="1"/>
  <c r="AC125" i="47" s="1"/>
  <c r="AG192" i="53"/>
  <c r="AG193" i="53"/>
  <c r="AG194" i="53"/>
  <c r="AG187" i="53"/>
  <c r="AG188" i="53"/>
  <c r="AG190" i="53"/>
  <c r="AG191" i="53"/>
  <c r="AG189" i="53"/>
  <c r="AG186" i="53"/>
  <c r="AG214" i="53"/>
  <c r="AG215" i="53"/>
  <c r="AG209" i="53"/>
  <c r="AG210" i="53"/>
  <c r="AG216" i="53"/>
  <c r="AG212" i="53"/>
  <c r="AG211" i="53"/>
  <c r="AG213" i="53"/>
  <c r="AG208" i="53"/>
  <c r="AH44" i="53"/>
  <c r="AH50" i="53" s="1"/>
  <c r="AH46" i="53"/>
  <c r="AH52" i="53" s="1"/>
  <c r="AH43" i="53"/>
  <c r="AH49" i="53" s="1"/>
  <c r="AH45" i="53"/>
  <c r="AH51" i="53" s="1"/>
  <c r="AA235" i="53"/>
  <c r="AA250" i="53" s="1"/>
  <c r="X112" i="47" s="1"/>
  <c r="AE258" i="53"/>
  <c r="AB118" i="47" s="1"/>
  <c r="AE245" i="53"/>
  <c r="AK31" i="53"/>
  <c r="AK34" i="53" s="1"/>
  <c r="AL23" i="53"/>
  <c r="AJ35" i="53"/>
  <c r="AJ157" i="53"/>
  <c r="AJ158" i="53"/>
  <c r="AF220" i="53"/>
  <c r="AF225" i="53"/>
  <c r="AF263" i="53" s="1"/>
  <c r="AC126" i="47" s="1"/>
  <c r="AF224" i="53"/>
  <c r="AF262" i="53" s="1"/>
  <c r="AC124" i="47" s="1"/>
  <c r="AF228" i="53"/>
  <c r="AF266" i="53" s="1"/>
  <c r="AC123" i="47" s="1"/>
  <c r="AF226" i="53"/>
  <c r="AF264" i="53" s="1"/>
  <c r="AC119" i="47" s="1"/>
  <c r="AG203" i="53"/>
  <c r="AG204" i="53"/>
  <c r="AG201" i="53"/>
  <c r="AG198" i="53"/>
  <c r="AG199" i="53"/>
  <c r="AG205" i="53"/>
  <c r="AG202" i="53"/>
  <c r="AG200" i="53"/>
  <c r="AG197" i="53"/>
  <c r="AG181" i="53"/>
  <c r="AG240" i="53" s="1"/>
  <c r="AG255" i="53" s="1"/>
  <c r="AD116" i="47" s="1"/>
  <c r="AG53" i="53"/>
  <c r="AG180" i="53"/>
  <c r="AG239" i="53" s="1"/>
  <c r="AG254" i="53" s="1"/>
  <c r="AD110" i="47" s="1"/>
  <c r="AG175" i="53"/>
  <c r="AG234" i="53" s="1"/>
  <c r="AG249" i="53" s="1"/>
  <c r="AD111" i="47" s="1"/>
  <c r="AG176" i="53"/>
  <c r="AG235" i="53" s="1"/>
  <c r="AG250" i="53" s="1"/>
  <c r="AD112" i="47" s="1"/>
  <c r="AG182" i="53"/>
  <c r="AG241" i="53" s="1"/>
  <c r="AG256" i="53" s="1"/>
  <c r="AD114" i="47" s="1"/>
  <c r="AG178" i="53"/>
  <c r="AG237" i="53" s="1"/>
  <c r="AG252" i="53" s="1"/>
  <c r="AD115" i="47" s="1"/>
  <c r="AG177" i="53"/>
  <c r="AG236" i="53" s="1"/>
  <c r="AG251" i="53" s="1"/>
  <c r="AD113" i="47" s="1"/>
  <c r="AG179" i="53"/>
  <c r="AG238" i="53" s="1"/>
  <c r="AG253" i="53" s="1"/>
  <c r="AD117" i="47" s="1"/>
  <c r="AG174" i="53"/>
  <c r="AG233" i="53" s="1"/>
  <c r="AG248" i="53" s="1"/>
  <c r="AD109" i="47" s="1"/>
  <c r="AL97" i="53"/>
  <c r="AK156" i="53"/>
  <c r="AK153" i="53"/>
  <c r="AL94" i="53"/>
  <c r="AL73" i="53"/>
  <c r="AK155" i="53"/>
  <c r="AL96" i="53"/>
  <c r="AL84" i="53"/>
  <c r="AM83" i="53"/>
  <c r="AM70" i="53"/>
  <c r="AA234" i="53"/>
  <c r="AA249" i="53" s="1"/>
  <c r="X111" i="47" s="1"/>
  <c r="AA92" i="53"/>
  <c r="AA151" i="53" s="1"/>
  <c r="Z151" i="53"/>
  <c r="Z233" i="53" s="1"/>
  <c r="Z248" i="53" s="1"/>
  <c r="W109" i="47" s="1"/>
  <c r="AJ92" i="53"/>
  <c r="AI151" i="53"/>
  <c r="AA177" i="53"/>
  <c r="AA200" i="53"/>
  <c r="AA189" i="53"/>
  <c r="AA211" i="53"/>
  <c r="AK81" i="53"/>
  <c r="AJ152" i="53"/>
  <c r="AK93" i="53"/>
  <c r="AM72" i="53"/>
  <c r="AM71" i="53"/>
  <c r="AM85" i="53"/>
  <c r="AJ159" i="53"/>
  <c r="AK100" i="53"/>
  <c r="AA228" i="53"/>
  <c r="AA266" i="53" s="1"/>
  <c r="X123" i="47" s="1"/>
  <c r="Y245" i="53"/>
  <c r="AL86" i="53"/>
  <c r="AA95" i="53"/>
  <c r="AA154" i="53" s="1"/>
  <c r="Z154" i="53"/>
  <c r="Z236" i="53" s="1"/>
  <c r="Z251" i="53" s="1"/>
  <c r="W113" i="47" s="1"/>
  <c r="AM89" i="53"/>
  <c r="Z220" i="53"/>
  <c r="AA197" i="53"/>
  <c r="AA174" i="53"/>
  <c r="AA186" i="53"/>
  <c r="AA208" i="53"/>
  <c r="Z223" i="53"/>
  <c r="Z261" i="53" s="1"/>
  <c r="W122" i="47" s="1"/>
  <c r="AN78" i="53"/>
  <c r="AN98" i="53"/>
  <c r="AN74" i="53"/>
  <c r="AM82" i="53"/>
  <c r="AJ154" i="53"/>
  <c r="AK95" i="53"/>
  <c r="AA238" i="53"/>
  <c r="AA253" i="53" s="1"/>
  <c r="X117" i="47" s="1"/>
  <c r="AM99" i="53"/>
  <c r="AM75" i="53"/>
  <c r="AJ169" i="53" l="1"/>
  <c r="AJ168" i="53"/>
  <c r="AJ166" i="53"/>
  <c r="AJ170" i="53"/>
  <c r="AJ162" i="53"/>
  <c r="AJ164" i="53"/>
  <c r="AJ163" i="53"/>
  <c r="AJ167" i="53"/>
  <c r="AJ165" i="53"/>
  <c r="AJ36" i="53"/>
  <c r="AJ41" i="53" s="1"/>
  <c r="AH180" i="53"/>
  <c r="AH239" i="53" s="1"/>
  <c r="AH254" i="53" s="1"/>
  <c r="AE110" i="47" s="1"/>
  <c r="AH181" i="53"/>
  <c r="AH240" i="53" s="1"/>
  <c r="AH255" i="53" s="1"/>
  <c r="AE116" i="47" s="1"/>
  <c r="AH53" i="53"/>
  <c r="AH178" i="53"/>
  <c r="AH237" i="53" s="1"/>
  <c r="AH252" i="53" s="1"/>
  <c r="AE115" i="47" s="1"/>
  <c r="AH175" i="53"/>
  <c r="AH234" i="53" s="1"/>
  <c r="AH249" i="53" s="1"/>
  <c r="AE111" i="47" s="1"/>
  <c r="AH182" i="53"/>
  <c r="AH241" i="53" s="1"/>
  <c r="AH256" i="53" s="1"/>
  <c r="AE114" i="47" s="1"/>
  <c r="AH176" i="53"/>
  <c r="AH235" i="53" s="1"/>
  <c r="AH250" i="53" s="1"/>
  <c r="AE112" i="47" s="1"/>
  <c r="AH177" i="53"/>
  <c r="AH236" i="53" s="1"/>
  <c r="AH251" i="53" s="1"/>
  <c r="AE113" i="47" s="1"/>
  <c r="AH179" i="53"/>
  <c r="AH238" i="53" s="1"/>
  <c r="AH253" i="53" s="1"/>
  <c r="AE117" i="47" s="1"/>
  <c r="AH174" i="53"/>
  <c r="AH233" i="53" s="1"/>
  <c r="AH248" i="53" s="1"/>
  <c r="AE109" i="47" s="1"/>
  <c r="AH193" i="53"/>
  <c r="AH192" i="53"/>
  <c r="AH194" i="53"/>
  <c r="AH188" i="53"/>
  <c r="AH190" i="53"/>
  <c r="AH187" i="53"/>
  <c r="AH189" i="53"/>
  <c r="AH191" i="53"/>
  <c r="AH186" i="53"/>
  <c r="AG220" i="53"/>
  <c r="AG225" i="53"/>
  <c r="AG263" i="53" s="1"/>
  <c r="AD126" i="47" s="1"/>
  <c r="AG222" i="53"/>
  <c r="AG260" i="53" s="1"/>
  <c r="AD121" i="47" s="1"/>
  <c r="AG228" i="53"/>
  <c r="AG266" i="53" s="1"/>
  <c r="AD123" i="47" s="1"/>
  <c r="AG226" i="53"/>
  <c r="AG264" i="53" s="1"/>
  <c r="AD119" i="47" s="1"/>
  <c r="AI43" i="53"/>
  <c r="AI49" i="53" s="1"/>
  <c r="AI44" i="53"/>
  <c r="AI50" i="53" s="1"/>
  <c r="AI46" i="53"/>
  <c r="AI52" i="53" s="1"/>
  <c r="AI45" i="53"/>
  <c r="AI51" i="53" s="1"/>
  <c r="AA220" i="53"/>
  <c r="AA258" i="53" s="1"/>
  <c r="X118" i="47" s="1"/>
  <c r="AA223" i="53"/>
  <c r="AA261" i="53" s="1"/>
  <c r="X122" i="47" s="1"/>
  <c r="AF258" i="53"/>
  <c r="AC118" i="47" s="1"/>
  <c r="AF245" i="53"/>
  <c r="AL31" i="53"/>
  <c r="AL34" i="53" s="1"/>
  <c r="AM23" i="53"/>
  <c r="AK35" i="53"/>
  <c r="AK157" i="53"/>
  <c r="AK158" i="53"/>
  <c r="AL24" i="53"/>
  <c r="AM24" i="53" s="1"/>
  <c r="AH204" i="53"/>
  <c r="AH203" i="53"/>
  <c r="AH198" i="53"/>
  <c r="AH201" i="53"/>
  <c r="AH205" i="53"/>
  <c r="AH199" i="53"/>
  <c r="AH202" i="53"/>
  <c r="AH200" i="53"/>
  <c r="AH197" i="53"/>
  <c r="AH215" i="53"/>
  <c r="AH214" i="53"/>
  <c r="AH212" i="53"/>
  <c r="AH209" i="53"/>
  <c r="AH216" i="53"/>
  <c r="AH210" i="53"/>
  <c r="AH211" i="53"/>
  <c r="AH213" i="53"/>
  <c r="AH208" i="53"/>
  <c r="AG223" i="53"/>
  <c r="AG261" i="53" s="1"/>
  <c r="AD122" i="47" s="1"/>
  <c r="AG224" i="53"/>
  <c r="AG262" i="53" s="1"/>
  <c r="AD124" i="47" s="1"/>
  <c r="AG221" i="53"/>
  <c r="AG259" i="53" s="1"/>
  <c r="AD120" i="47" s="1"/>
  <c r="AG227" i="53"/>
  <c r="AG265" i="53" s="1"/>
  <c r="AD125" i="47" s="1"/>
  <c r="AN99" i="53"/>
  <c r="AN71" i="53"/>
  <c r="AN72" i="53"/>
  <c r="AK152" i="53"/>
  <c r="AL93" i="53"/>
  <c r="AM84" i="53"/>
  <c r="AL155" i="53"/>
  <c r="AM96" i="53"/>
  <c r="AM73" i="53"/>
  <c r="AL153" i="53"/>
  <c r="AM94" i="53"/>
  <c r="AN75" i="53"/>
  <c r="AN82" i="53"/>
  <c r="AO98" i="53"/>
  <c r="AO78" i="53"/>
  <c r="AM86" i="53"/>
  <c r="AL81" i="53"/>
  <c r="AJ151" i="53"/>
  <c r="AK92" i="53"/>
  <c r="AK154" i="53"/>
  <c r="AL95" i="53"/>
  <c r="AO74" i="53"/>
  <c r="AA233" i="53"/>
  <c r="AA248" i="53" s="1"/>
  <c r="X109" i="47" s="1"/>
  <c r="Z245" i="53"/>
  <c r="Z258" i="53"/>
  <c r="W118" i="47" s="1"/>
  <c r="AN89" i="53"/>
  <c r="AK159" i="53"/>
  <c r="AL100" i="53"/>
  <c r="AN85" i="53"/>
  <c r="AA236" i="53"/>
  <c r="AA251" i="53" s="1"/>
  <c r="X113" i="47" s="1"/>
  <c r="AN70" i="53"/>
  <c r="AN83" i="53"/>
  <c r="AL156" i="53"/>
  <c r="AM97" i="53"/>
  <c r="AM31" i="53" l="1"/>
  <c r="AM34" i="53" s="1"/>
  <c r="AM155" i="53" s="1"/>
  <c r="AN23" i="53"/>
  <c r="AL35" i="53"/>
  <c r="AL157" i="53"/>
  <c r="AL158" i="53"/>
  <c r="AI215" i="53"/>
  <c r="AI214" i="53"/>
  <c r="AI212" i="53"/>
  <c r="AI209" i="53"/>
  <c r="AI210" i="53"/>
  <c r="AI216" i="53"/>
  <c r="AI213" i="53"/>
  <c r="AI211" i="53"/>
  <c r="AI208" i="53"/>
  <c r="AI180" i="53"/>
  <c r="AI239" i="53" s="1"/>
  <c r="AI254" i="53" s="1"/>
  <c r="AF110" i="47" s="1"/>
  <c r="AI53" i="53"/>
  <c r="AI181" i="53"/>
  <c r="AI240" i="53" s="1"/>
  <c r="AI255" i="53" s="1"/>
  <c r="AF116" i="47" s="1"/>
  <c r="AI176" i="53"/>
  <c r="AI235" i="53" s="1"/>
  <c r="AI250" i="53" s="1"/>
  <c r="AF112" i="47" s="1"/>
  <c r="AI182" i="53"/>
  <c r="AI241" i="53" s="1"/>
  <c r="AI256" i="53" s="1"/>
  <c r="AF114" i="47" s="1"/>
  <c r="AI175" i="53"/>
  <c r="AI234" i="53" s="1"/>
  <c r="AI249" i="53" s="1"/>
  <c r="AF111" i="47" s="1"/>
  <c r="AI178" i="53"/>
  <c r="AI237" i="53" s="1"/>
  <c r="AI252" i="53" s="1"/>
  <c r="AF115" i="47" s="1"/>
  <c r="AI179" i="53"/>
  <c r="AI238" i="53" s="1"/>
  <c r="AI253" i="53" s="1"/>
  <c r="AF117" i="47" s="1"/>
  <c r="AI177" i="53"/>
  <c r="AI236" i="53" s="1"/>
  <c r="AI251" i="53" s="1"/>
  <c r="AF113" i="47" s="1"/>
  <c r="AI174" i="53"/>
  <c r="AI233" i="53" s="1"/>
  <c r="AI248" i="53" s="1"/>
  <c r="AF109" i="47" s="1"/>
  <c r="AH220" i="53"/>
  <c r="AH223" i="53"/>
  <c r="AH261" i="53" s="1"/>
  <c r="AE122" i="47" s="1"/>
  <c r="AH224" i="53"/>
  <c r="AH262" i="53" s="1"/>
  <c r="AE124" i="47" s="1"/>
  <c r="AH228" i="53"/>
  <c r="AH266" i="53" s="1"/>
  <c r="AE123" i="47" s="1"/>
  <c r="AH227" i="53"/>
  <c r="AH265" i="53" s="1"/>
  <c r="AE125" i="47" s="1"/>
  <c r="AK169" i="53"/>
  <c r="AK168" i="53"/>
  <c r="AK166" i="53"/>
  <c r="AK170" i="53"/>
  <c r="AK163" i="53"/>
  <c r="AK164" i="53"/>
  <c r="AK162" i="53"/>
  <c r="AK167" i="53"/>
  <c r="AK165" i="53"/>
  <c r="AK36" i="53"/>
  <c r="AK41" i="53" s="1"/>
  <c r="AI204" i="53"/>
  <c r="AI203" i="53"/>
  <c r="AI199" i="53"/>
  <c r="AI205" i="53"/>
  <c r="AI201" i="53"/>
  <c r="AI198" i="53"/>
  <c r="AI202" i="53"/>
  <c r="AI200" i="53"/>
  <c r="AI197" i="53"/>
  <c r="AI192" i="53"/>
  <c r="AI193" i="53"/>
  <c r="AI190" i="53"/>
  <c r="AI188" i="53"/>
  <c r="AI194" i="53"/>
  <c r="AI187" i="53"/>
  <c r="AI191" i="53"/>
  <c r="AI189" i="53"/>
  <c r="AI186" i="53"/>
  <c r="AG258" i="53"/>
  <c r="AD118" i="47" s="1"/>
  <c r="AG245" i="53"/>
  <c r="AH225" i="53"/>
  <c r="AH263" i="53" s="1"/>
  <c r="AE126" i="47" s="1"/>
  <c r="AH221" i="53"/>
  <c r="AH259" i="53" s="1"/>
  <c r="AE120" i="47" s="1"/>
  <c r="AH222" i="53"/>
  <c r="AH260" i="53" s="1"/>
  <c r="AE121" i="47" s="1"/>
  <c r="AH226" i="53"/>
  <c r="AH264" i="53" s="1"/>
  <c r="AE119" i="47" s="1"/>
  <c r="AJ44" i="53"/>
  <c r="AJ50" i="53" s="1"/>
  <c r="AJ46" i="53"/>
  <c r="AJ52" i="53" s="1"/>
  <c r="AJ45" i="53"/>
  <c r="AJ51" i="53" s="1"/>
  <c r="AJ43" i="53"/>
  <c r="AJ49" i="53" s="1"/>
  <c r="AO83" i="53"/>
  <c r="AL159" i="53"/>
  <c r="AM100" i="53"/>
  <c r="AL154" i="53"/>
  <c r="AM95" i="53"/>
  <c r="AK151" i="53"/>
  <c r="AL92" i="53"/>
  <c r="AM81" i="53"/>
  <c r="AO75" i="53"/>
  <c r="AM153" i="53"/>
  <c r="AN94" i="53"/>
  <c r="AN73" i="53"/>
  <c r="AN96" i="53"/>
  <c r="AN84" i="53"/>
  <c r="AO99" i="53"/>
  <c r="AM156" i="53"/>
  <c r="AN97" i="53"/>
  <c r="AO70" i="53"/>
  <c r="AO85" i="53"/>
  <c r="AO89" i="53"/>
  <c r="AP74" i="53"/>
  <c r="AN86" i="53"/>
  <c r="AA245" i="53"/>
  <c r="AP78" i="53"/>
  <c r="AP98" i="53"/>
  <c r="AO82" i="53"/>
  <c r="AL152" i="53"/>
  <c r="AM93" i="53"/>
  <c r="AO72" i="53"/>
  <c r="AO71" i="53"/>
  <c r="AI227" i="53" l="1"/>
  <c r="AI265" i="53" s="1"/>
  <c r="AF125" i="47" s="1"/>
  <c r="AI228" i="53"/>
  <c r="AI266" i="53" s="1"/>
  <c r="AF123" i="47" s="1"/>
  <c r="AI222" i="53"/>
  <c r="AI260" i="53" s="1"/>
  <c r="AF121" i="47" s="1"/>
  <c r="AI226" i="53"/>
  <c r="AI264" i="53" s="1"/>
  <c r="AF119" i="47" s="1"/>
  <c r="AI220" i="53"/>
  <c r="AI225" i="53"/>
  <c r="AI263" i="53" s="1"/>
  <c r="AF126" i="47" s="1"/>
  <c r="AI224" i="53"/>
  <c r="AI262" i="53" s="1"/>
  <c r="AF124" i="47" s="1"/>
  <c r="AI223" i="53"/>
  <c r="AI261" i="53" s="1"/>
  <c r="AF122" i="47" s="1"/>
  <c r="AI221" i="53"/>
  <c r="AI259" i="53" s="1"/>
  <c r="AF120" i="47" s="1"/>
  <c r="AJ203" i="53"/>
  <c r="AJ204" i="53"/>
  <c r="AJ205" i="53"/>
  <c r="AJ201" i="53"/>
  <c r="AJ198" i="53"/>
  <c r="AJ199" i="53"/>
  <c r="AJ202" i="53"/>
  <c r="AJ200" i="53"/>
  <c r="AJ197" i="53"/>
  <c r="AJ193" i="53"/>
  <c r="AJ192" i="53"/>
  <c r="AJ188" i="53"/>
  <c r="AJ194" i="53"/>
  <c r="AJ190" i="53"/>
  <c r="AJ187" i="53"/>
  <c r="AJ189" i="53"/>
  <c r="AJ191" i="53"/>
  <c r="AJ186" i="53"/>
  <c r="AH245" i="53"/>
  <c r="AH258" i="53"/>
  <c r="AE118" i="47" s="1"/>
  <c r="AL168" i="53"/>
  <c r="AL169" i="53"/>
  <c r="AL166" i="53"/>
  <c r="AL170" i="53"/>
  <c r="AL164" i="53"/>
  <c r="AL163" i="53"/>
  <c r="AL167" i="53"/>
  <c r="AL162" i="53"/>
  <c r="AL36" i="53"/>
  <c r="AL41" i="53" s="1"/>
  <c r="AL165" i="53"/>
  <c r="AJ181" i="53"/>
  <c r="AJ240" i="53" s="1"/>
  <c r="AJ255" i="53" s="1"/>
  <c r="AG116" i="47" s="1"/>
  <c r="AJ53" i="53"/>
  <c r="AJ180" i="53"/>
  <c r="AJ239" i="53" s="1"/>
  <c r="AJ254" i="53" s="1"/>
  <c r="AG110" i="47" s="1"/>
  <c r="AJ178" i="53"/>
  <c r="AJ237" i="53" s="1"/>
  <c r="AJ252" i="53" s="1"/>
  <c r="AG115" i="47" s="1"/>
  <c r="AJ182" i="53"/>
  <c r="AJ241" i="53" s="1"/>
  <c r="AJ256" i="53" s="1"/>
  <c r="AG114" i="47" s="1"/>
  <c r="AJ175" i="53"/>
  <c r="AJ234" i="53" s="1"/>
  <c r="AJ249" i="53" s="1"/>
  <c r="AG111" i="47" s="1"/>
  <c r="AJ176" i="53"/>
  <c r="AJ235" i="53" s="1"/>
  <c r="AJ250" i="53" s="1"/>
  <c r="AG112" i="47" s="1"/>
  <c r="AJ177" i="53"/>
  <c r="AJ236" i="53" s="1"/>
  <c r="AJ251" i="53" s="1"/>
  <c r="AG113" i="47" s="1"/>
  <c r="AJ179" i="53"/>
  <c r="AJ238" i="53" s="1"/>
  <c r="AJ253" i="53" s="1"/>
  <c r="AG117" i="47" s="1"/>
  <c r="AJ174" i="53"/>
  <c r="AJ233" i="53" s="1"/>
  <c r="AJ248" i="53" s="1"/>
  <c r="AG109" i="47" s="1"/>
  <c r="AJ215" i="53"/>
  <c r="AJ214" i="53"/>
  <c r="AJ216" i="53"/>
  <c r="AJ209" i="53"/>
  <c r="AJ210" i="53"/>
  <c r="AJ212" i="53"/>
  <c r="AJ211" i="53"/>
  <c r="AJ213" i="53"/>
  <c r="AJ208" i="53"/>
  <c r="AI258" i="53"/>
  <c r="AF118" i="47" s="1"/>
  <c r="AK45" i="53"/>
  <c r="AK51" i="53" s="1"/>
  <c r="AK46" i="53"/>
  <c r="AK52" i="53" s="1"/>
  <c r="AK44" i="53"/>
  <c r="AK50" i="53" s="1"/>
  <c r="AK43" i="53"/>
  <c r="AK49" i="53" s="1"/>
  <c r="AN31" i="53"/>
  <c r="AN34" i="53" s="1"/>
  <c r="AN156" i="53" s="1"/>
  <c r="AO23" i="53"/>
  <c r="AM35" i="53"/>
  <c r="AM157" i="53"/>
  <c r="AM158" i="53"/>
  <c r="AN24" i="53"/>
  <c r="AO24" i="53" s="1"/>
  <c r="AQ98" i="53"/>
  <c r="AQ78" i="53"/>
  <c r="AQ74" i="53"/>
  <c r="AP89" i="53"/>
  <c r="AP85" i="53"/>
  <c r="AO97" i="53"/>
  <c r="AP99" i="53"/>
  <c r="AO96" i="53"/>
  <c r="AO94" i="53"/>
  <c r="AP75" i="53"/>
  <c r="AL151" i="53"/>
  <c r="AM92" i="53"/>
  <c r="AM154" i="53"/>
  <c r="AN95" i="53"/>
  <c r="AP71" i="53"/>
  <c r="AP72" i="53"/>
  <c r="AM152" i="53"/>
  <c r="AN93" i="53"/>
  <c r="AP82" i="53"/>
  <c r="AO86" i="53"/>
  <c r="AP70" i="53"/>
  <c r="AO84" i="53"/>
  <c r="AO73" i="53"/>
  <c r="AN81" i="53"/>
  <c r="AM159" i="53"/>
  <c r="AN100" i="53"/>
  <c r="AP83" i="53"/>
  <c r="AN153" i="53" l="1"/>
  <c r="AN155" i="53"/>
  <c r="AI245" i="53"/>
  <c r="AM168" i="53"/>
  <c r="AM169" i="53"/>
  <c r="AM166" i="53"/>
  <c r="AM170" i="53"/>
  <c r="AM163" i="53"/>
  <c r="AM164" i="53"/>
  <c r="AM162" i="53"/>
  <c r="AM167" i="53"/>
  <c r="AM165" i="53"/>
  <c r="AM36" i="53"/>
  <c r="AM41" i="53" s="1"/>
  <c r="AK181" i="53"/>
  <c r="AK240" i="53" s="1"/>
  <c r="AK255" i="53" s="1"/>
  <c r="AH116" i="47" s="1"/>
  <c r="AK180" i="53"/>
  <c r="AK239" i="53" s="1"/>
  <c r="AK254" i="53" s="1"/>
  <c r="AH110" i="47" s="1"/>
  <c r="AK53" i="53"/>
  <c r="AK182" i="53"/>
  <c r="AK241" i="53" s="1"/>
  <c r="AK256" i="53" s="1"/>
  <c r="AH114" i="47" s="1"/>
  <c r="AK175" i="53"/>
  <c r="AK234" i="53" s="1"/>
  <c r="AK249" i="53" s="1"/>
  <c r="AH111" i="47" s="1"/>
  <c r="AK176" i="53"/>
  <c r="AK235" i="53" s="1"/>
  <c r="AK250" i="53" s="1"/>
  <c r="AH112" i="47" s="1"/>
  <c r="AK178" i="53"/>
  <c r="AK237" i="53" s="1"/>
  <c r="AK252" i="53" s="1"/>
  <c r="AH115" i="47" s="1"/>
  <c r="AK177" i="53"/>
  <c r="AK236" i="53" s="1"/>
  <c r="AK251" i="53" s="1"/>
  <c r="AH113" i="47" s="1"/>
  <c r="AK179" i="53"/>
  <c r="AK238" i="53" s="1"/>
  <c r="AK253" i="53" s="1"/>
  <c r="AH117" i="47" s="1"/>
  <c r="AK174" i="53"/>
  <c r="AK233" i="53" s="1"/>
  <c r="AK248" i="53" s="1"/>
  <c r="AH109" i="47" s="1"/>
  <c r="AK214" i="53"/>
  <c r="AK215" i="53"/>
  <c r="AK209" i="53"/>
  <c r="AK216" i="53"/>
  <c r="AK212" i="53"/>
  <c r="AK210" i="53"/>
  <c r="AK211" i="53"/>
  <c r="AK213" i="53"/>
  <c r="AK208" i="53"/>
  <c r="AL44" i="53"/>
  <c r="AL50" i="53" s="1"/>
  <c r="AL43" i="53"/>
  <c r="AL49" i="53" s="1"/>
  <c r="AL45" i="53"/>
  <c r="AL51" i="53" s="1"/>
  <c r="AL46" i="53"/>
  <c r="AL52" i="53" s="1"/>
  <c r="AJ220" i="53"/>
  <c r="AJ223" i="53"/>
  <c r="AJ261" i="53" s="1"/>
  <c r="AG122" i="47" s="1"/>
  <c r="AJ224" i="53"/>
  <c r="AJ262" i="53" s="1"/>
  <c r="AG124" i="47" s="1"/>
  <c r="AJ222" i="53"/>
  <c r="AJ260" i="53" s="1"/>
  <c r="AG121" i="47" s="1"/>
  <c r="AJ227" i="53"/>
  <c r="AJ265" i="53" s="1"/>
  <c r="AG125" i="47" s="1"/>
  <c r="AO31" i="53"/>
  <c r="AO34" i="53" s="1"/>
  <c r="AO153" i="53" s="1"/>
  <c r="AP23" i="53"/>
  <c r="AN35" i="53"/>
  <c r="AN157" i="53"/>
  <c r="AN158" i="53"/>
  <c r="AK193" i="53"/>
  <c r="AK192" i="53"/>
  <c r="AK187" i="53"/>
  <c r="AK188" i="53"/>
  <c r="AK194" i="53"/>
  <c r="AK190" i="53"/>
  <c r="AK191" i="53"/>
  <c r="AK189" i="53"/>
  <c r="AK186" i="53"/>
  <c r="AK203" i="53"/>
  <c r="AK204" i="53"/>
  <c r="AK199" i="53"/>
  <c r="AK201" i="53"/>
  <c r="AK198" i="53"/>
  <c r="AK205" i="53"/>
  <c r="AK200" i="53"/>
  <c r="AK202" i="53"/>
  <c r="AK197" i="53"/>
  <c r="AJ225" i="53"/>
  <c r="AJ263" i="53" s="1"/>
  <c r="AG126" i="47" s="1"/>
  <c r="AJ221" i="53"/>
  <c r="AJ259" i="53" s="1"/>
  <c r="AG120" i="47" s="1"/>
  <c r="AJ228" i="53"/>
  <c r="AJ266" i="53" s="1"/>
  <c r="AG123" i="47" s="1"/>
  <c r="AJ226" i="53"/>
  <c r="AJ264" i="53" s="1"/>
  <c r="AG119" i="47" s="1"/>
  <c r="AO81" i="53"/>
  <c r="AQ70" i="53"/>
  <c r="AP86" i="53"/>
  <c r="AN152" i="53"/>
  <c r="AO93" i="53"/>
  <c r="AQ72" i="53"/>
  <c r="AQ71" i="53"/>
  <c r="AQ75" i="53"/>
  <c r="AP94" i="53"/>
  <c r="AP96" i="53"/>
  <c r="AQ85" i="53"/>
  <c r="AR74" i="53"/>
  <c r="AR78" i="53"/>
  <c r="AR98" i="53"/>
  <c r="AQ83" i="53"/>
  <c r="AN159" i="53"/>
  <c r="AO100" i="53"/>
  <c r="AP73" i="53"/>
  <c r="AP84" i="53"/>
  <c r="AQ82" i="53"/>
  <c r="AN154" i="53"/>
  <c r="AO95" i="53"/>
  <c r="AM151" i="53"/>
  <c r="AN92" i="53"/>
  <c r="AQ99" i="53"/>
  <c r="AP97" i="53"/>
  <c r="AQ89" i="53"/>
  <c r="AO156" i="53" l="1"/>
  <c r="AO155" i="53"/>
  <c r="AK223" i="53"/>
  <c r="AK261" i="53" s="1"/>
  <c r="AH122" i="47" s="1"/>
  <c r="AK224" i="53"/>
  <c r="AK262" i="53" s="1"/>
  <c r="AH124" i="47" s="1"/>
  <c r="AK222" i="53"/>
  <c r="AK260" i="53" s="1"/>
  <c r="AH121" i="47" s="1"/>
  <c r="AK226" i="53"/>
  <c r="AK264" i="53" s="1"/>
  <c r="AH119" i="47" s="1"/>
  <c r="AN169" i="53"/>
  <c r="AN168" i="53"/>
  <c r="AN170" i="53"/>
  <c r="AN166" i="53"/>
  <c r="AN162" i="53"/>
  <c r="AN164" i="53"/>
  <c r="AN163" i="53"/>
  <c r="AN167" i="53"/>
  <c r="AN36" i="53"/>
  <c r="AN41" i="53" s="1"/>
  <c r="AN165" i="53"/>
  <c r="AL204" i="53"/>
  <c r="AL203" i="53"/>
  <c r="AL199" i="53"/>
  <c r="AL201" i="53"/>
  <c r="AL205" i="53"/>
  <c r="AL198" i="53"/>
  <c r="AL200" i="53"/>
  <c r="AL202" i="53"/>
  <c r="AL197" i="53"/>
  <c r="AL193" i="53"/>
  <c r="AL192" i="53"/>
  <c r="AL190" i="53"/>
  <c r="AL194" i="53"/>
  <c r="AL188" i="53"/>
  <c r="AL187" i="53"/>
  <c r="AL189" i="53"/>
  <c r="AL191" i="53"/>
  <c r="AL186" i="53"/>
  <c r="AM46" i="53"/>
  <c r="AM52" i="53" s="1"/>
  <c r="AM45" i="53"/>
  <c r="AM51" i="53" s="1"/>
  <c r="AM44" i="53"/>
  <c r="AM50" i="53" s="1"/>
  <c r="AM43" i="53"/>
  <c r="AM49" i="53" s="1"/>
  <c r="AK220" i="53"/>
  <c r="AK225" i="53"/>
  <c r="AK263" i="53" s="1"/>
  <c r="AH126" i="47" s="1"/>
  <c r="AK228" i="53"/>
  <c r="AK266" i="53" s="1"/>
  <c r="AH123" i="47" s="1"/>
  <c r="AK221" i="53"/>
  <c r="AK259" i="53" s="1"/>
  <c r="AH120" i="47" s="1"/>
  <c r="AK227" i="53"/>
  <c r="AK265" i="53" s="1"/>
  <c r="AH125" i="47" s="1"/>
  <c r="AP31" i="53"/>
  <c r="AP34" i="53" s="1"/>
  <c r="AP153" i="53" s="1"/>
  <c r="AQ23" i="53"/>
  <c r="AO35" i="53"/>
  <c r="AO157" i="53"/>
  <c r="AO158" i="53"/>
  <c r="AP24" i="53"/>
  <c r="AJ258" i="53"/>
  <c r="AG118" i="47" s="1"/>
  <c r="AJ245" i="53"/>
  <c r="AL215" i="53"/>
  <c r="AL214" i="53"/>
  <c r="AL210" i="53"/>
  <c r="AL209" i="53"/>
  <c r="AL212" i="53"/>
  <c r="AL216" i="53"/>
  <c r="AL211" i="53"/>
  <c r="AL213" i="53"/>
  <c r="AL208" i="53"/>
  <c r="AL53" i="53"/>
  <c r="AL180" i="53"/>
  <c r="AL239" i="53" s="1"/>
  <c r="AL254" i="53" s="1"/>
  <c r="AI110" i="47" s="1"/>
  <c r="AL181" i="53"/>
  <c r="AL240" i="53" s="1"/>
  <c r="AL255" i="53" s="1"/>
  <c r="AI116" i="47" s="1"/>
  <c r="AL178" i="53"/>
  <c r="AL237" i="53" s="1"/>
  <c r="AL252" i="53" s="1"/>
  <c r="AI115" i="47" s="1"/>
  <c r="AL182" i="53"/>
  <c r="AL241" i="53" s="1"/>
  <c r="AL256" i="53" s="1"/>
  <c r="AI114" i="47" s="1"/>
  <c r="AL175" i="53"/>
  <c r="AL234" i="53" s="1"/>
  <c r="AL249" i="53" s="1"/>
  <c r="AI111" i="47" s="1"/>
  <c r="AL176" i="53"/>
  <c r="AL235" i="53" s="1"/>
  <c r="AL250" i="53" s="1"/>
  <c r="AI112" i="47" s="1"/>
  <c r="AL179" i="53"/>
  <c r="AL238" i="53" s="1"/>
  <c r="AL253" i="53" s="1"/>
  <c r="AI117" i="47" s="1"/>
  <c r="AL177" i="53"/>
  <c r="AL236" i="53" s="1"/>
  <c r="AL251" i="53" s="1"/>
  <c r="AI113" i="47" s="1"/>
  <c r="AL174" i="53"/>
  <c r="AL233" i="53" s="1"/>
  <c r="AL248" i="53" s="1"/>
  <c r="AI109" i="47" s="1"/>
  <c r="AP156" i="53"/>
  <c r="AQ97" i="53"/>
  <c r="AR99" i="53"/>
  <c r="AN151" i="53"/>
  <c r="AO92" i="53"/>
  <c r="AO154" i="53"/>
  <c r="AP95" i="53"/>
  <c r="AR82" i="53"/>
  <c r="AQ73" i="53"/>
  <c r="AS98" i="53"/>
  <c r="AS78" i="53"/>
  <c r="AS74" i="53"/>
  <c r="AP155" i="53"/>
  <c r="AQ96" i="53"/>
  <c r="AQ94" i="53"/>
  <c r="AR75" i="53"/>
  <c r="AR71" i="53"/>
  <c r="AR72" i="53"/>
  <c r="AO152" i="53"/>
  <c r="AP93" i="53"/>
  <c r="AQ86" i="53"/>
  <c r="AR89" i="53"/>
  <c r="AQ84" i="53"/>
  <c r="AO159" i="53"/>
  <c r="AP100" i="53"/>
  <c r="AR83" i="53"/>
  <c r="AR85" i="53"/>
  <c r="AR70" i="53"/>
  <c r="AP81" i="53"/>
  <c r="AQ24" i="53" l="1"/>
  <c r="AO168" i="53"/>
  <c r="AO169" i="53"/>
  <c r="AO166" i="53"/>
  <c r="AO170" i="53"/>
  <c r="AO162" i="53"/>
  <c r="AO167" i="53"/>
  <c r="AO163" i="53"/>
  <c r="AO164" i="53"/>
  <c r="AO165" i="53"/>
  <c r="AO36" i="53"/>
  <c r="AO41" i="53" s="1"/>
  <c r="AM181" i="53"/>
  <c r="AM240" i="53" s="1"/>
  <c r="AM53" i="53"/>
  <c r="AM180" i="53"/>
  <c r="AM239" i="53" s="1"/>
  <c r="AM175" i="53"/>
  <c r="AM234" i="53" s="1"/>
  <c r="AM182" i="53"/>
  <c r="AM241" i="53" s="1"/>
  <c r="AM178" i="53"/>
  <c r="AM237" i="53" s="1"/>
  <c r="AM176" i="53"/>
  <c r="AM235" i="53" s="1"/>
  <c r="AM177" i="53"/>
  <c r="AM236" i="53" s="1"/>
  <c r="AM179" i="53"/>
  <c r="AM238" i="53" s="1"/>
  <c r="AM174" i="53"/>
  <c r="AM233" i="53" s="1"/>
  <c r="AM204" i="53"/>
  <c r="AM203" i="53"/>
  <c r="AM198" i="53"/>
  <c r="AM201" i="53"/>
  <c r="AM199" i="53"/>
  <c r="AM205" i="53"/>
  <c r="AM200" i="53"/>
  <c r="AM202" i="53"/>
  <c r="AM197" i="53"/>
  <c r="AL220" i="53"/>
  <c r="AL223" i="53"/>
  <c r="AL261" i="53" s="1"/>
  <c r="AI122" i="47" s="1"/>
  <c r="AL222" i="53"/>
  <c r="AL260" i="53" s="1"/>
  <c r="AI121" i="47" s="1"/>
  <c r="AL224" i="53"/>
  <c r="AL262" i="53" s="1"/>
  <c r="AI124" i="47" s="1"/>
  <c r="AL227" i="53"/>
  <c r="AL265" i="53" s="1"/>
  <c r="AI125" i="47" s="1"/>
  <c r="AQ31" i="53"/>
  <c r="AQ34" i="53" s="1"/>
  <c r="AQ156" i="53" s="1"/>
  <c r="AR23" i="53"/>
  <c r="AP35" i="53"/>
  <c r="AP157" i="53"/>
  <c r="AP158" i="53"/>
  <c r="AK258" i="53"/>
  <c r="AH118" i="47" s="1"/>
  <c r="AK245" i="53"/>
  <c r="AM193" i="53"/>
  <c r="AM192" i="53"/>
  <c r="AM190" i="53"/>
  <c r="AM188" i="53"/>
  <c r="AM187" i="53"/>
  <c r="AM194" i="53"/>
  <c r="AM189" i="53"/>
  <c r="AM191" i="53"/>
  <c r="AM186" i="53"/>
  <c r="AM214" i="53"/>
  <c r="AM215" i="53"/>
  <c r="AM216" i="53"/>
  <c r="AM209" i="53"/>
  <c r="AM212" i="53"/>
  <c r="AM210" i="53"/>
  <c r="AM213" i="53"/>
  <c r="AM211" i="53"/>
  <c r="AM208" i="53"/>
  <c r="AL225" i="53"/>
  <c r="AL263" i="53" s="1"/>
  <c r="AI126" i="47" s="1"/>
  <c r="AL221" i="53"/>
  <c r="AL259" i="53" s="1"/>
  <c r="AI120" i="47" s="1"/>
  <c r="AL228" i="53"/>
  <c r="AL266" i="53" s="1"/>
  <c r="AI123" i="47" s="1"/>
  <c r="AL226" i="53"/>
  <c r="AL264" i="53" s="1"/>
  <c r="AI119" i="47" s="1"/>
  <c r="AN43" i="53"/>
  <c r="AN49" i="53" s="1"/>
  <c r="AN44" i="53"/>
  <c r="AN50" i="53" s="1"/>
  <c r="AN45" i="53"/>
  <c r="AN51" i="53" s="1"/>
  <c r="AN46" i="53"/>
  <c r="AN52" i="53" s="1"/>
  <c r="AQ81" i="53"/>
  <c r="AS85" i="53"/>
  <c r="AP159" i="53"/>
  <c r="AQ100" i="53"/>
  <c r="AS89" i="53"/>
  <c r="AR86" i="53"/>
  <c r="AS82" i="53"/>
  <c r="AS70" i="53"/>
  <c r="AS83" i="53"/>
  <c r="AR84" i="53"/>
  <c r="AP152" i="53"/>
  <c r="AQ93" i="53"/>
  <c r="AS72" i="53"/>
  <c r="AS71" i="53"/>
  <c r="AS75" i="53"/>
  <c r="AR94" i="53"/>
  <c r="AR96" i="53"/>
  <c r="AT74" i="53"/>
  <c r="AT78" i="53"/>
  <c r="AT98" i="53"/>
  <c r="AR73" i="53"/>
  <c r="AP154" i="53"/>
  <c r="AQ95" i="53"/>
  <c r="AO151" i="53"/>
  <c r="AP92" i="53"/>
  <c r="AS99" i="53"/>
  <c r="AR97" i="53"/>
  <c r="AQ153" i="53" l="1"/>
  <c r="AQ155" i="53"/>
  <c r="AN204" i="53"/>
  <c r="AN203" i="53"/>
  <c r="AN199" i="53"/>
  <c r="AN201" i="53"/>
  <c r="AN205" i="53"/>
  <c r="AN198" i="53"/>
  <c r="AN202" i="53"/>
  <c r="AN200" i="53"/>
  <c r="AN197" i="53"/>
  <c r="AN53" i="53"/>
  <c r="AN180" i="53"/>
  <c r="AN239" i="53" s="1"/>
  <c r="AN181" i="53"/>
  <c r="AN240" i="53" s="1"/>
  <c r="AN175" i="53"/>
  <c r="AN234" i="53" s="1"/>
  <c r="AN176" i="53"/>
  <c r="AN235" i="53" s="1"/>
  <c r="AN178" i="53"/>
  <c r="AN237" i="53" s="1"/>
  <c r="AN182" i="53"/>
  <c r="AN241" i="53" s="1"/>
  <c r="AN179" i="53"/>
  <c r="AN238" i="53" s="1"/>
  <c r="AN177" i="53"/>
  <c r="AN236" i="53" s="1"/>
  <c r="AN174" i="53"/>
  <c r="AN233" i="53" s="1"/>
  <c r="AM220" i="53"/>
  <c r="AM223" i="53"/>
  <c r="AM221" i="53"/>
  <c r="AM224" i="53"/>
  <c r="AM227" i="53"/>
  <c r="AR31" i="53"/>
  <c r="AR34" i="53" s="1"/>
  <c r="AS23" i="53"/>
  <c r="AQ35" i="53"/>
  <c r="AQ157" i="53"/>
  <c r="AQ158" i="53"/>
  <c r="AR24" i="53"/>
  <c r="AL245" i="53"/>
  <c r="AL258" i="53"/>
  <c r="AI118" i="47" s="1"/>
  <c r="AO44" i="53"/>
  <c r="AO50" i="53" s="1"/>
  <c r="AO43" i="53"/>
  <c r="AO49" i="53" s="1"/>
  <c r="AO46" i="53"/>
  <c r="AO52" i="53" s="1"/>
  <c r="AO45" i="53"/>
  <c r="AO51" i="53" s="1"/>
  <c r="AN214" i="53"/>
  <c r="AN215" i="53"/>
  <c r="AN216" i="53"/>
  <c r="AN210" i="53"/>
  <c r="AN212" i="53"/>
  <c r="AN209" i="53"/>
  <c r="AN213" i="53"/>
  <c r="AN211" i="53"/>
  <c r="AN208" i="53"/>
  <c r="AN192" i="53"/>
  <c r="AN193" i="53"/>
  <c r="AN188" i="53"/>
  <c r="AN190" i="53"/>
  <c r="AN187" i="53"/>
  <c r="AN221" i="53" s="1"/>
  <c r="AN194" i="53"/>
  <c r="AN191" i="53"/>
  <c r="AN189" i="53"/>
  <c r="AN186" i="53"/>
  <c r="AM225" i="53"/>
  <c r="AM228" i="53"/>
  <c r="AM222" i="53"/>
  <c r="AM226" i="53"/>
  <c r="AP168" i="53"/>
  <c r="AP169" i="53"/>
  <c r="AP170" i="53"/>
  <c r="AP166" i="53"/>
  <c r="AP162" i="53"/>
  <c r="AP164" i="53"/>
  <c r="AP163" i="53"/>
  <c r="AP167" i="53"/>
  <c r="AP165" i="53"/>
  <c r="AP36" i="53"/>
  <c r="AP41" i="53" s="1"/>
  <c r="AR156" i="53"/>
  <c r="AS97" i="53"/>
  <c r="AT99" i="53"/>
  <c r="AP151" i="53"/>
  <c r="AQ92" i="53"/>
  <c r="AQ154" i="53"/>
  <c r="AR95" i="53"/>
  <c r="AS73" i="53"/>
  <c r="AR155" i="53"/>
  <c r="AS96" i="53"/>
  <c r="AR153" i="53"/>
  <c r="AS94" i="53"/>
  <c r="AT75" i="53"/>
  <c r="AT71" i="53"/>
  <c r="AT72" i="53"/>
  <c r="AQ152" i="53"/>
  <c r="AR93" i="53"/>
  <c r="AT83" i="53"/>
  <c r="AT70" i="53"/>
  <c r="AT82" i="53"/>
  <c r="AT89" i="53"/>
  <c r="AQ159" i="53"/>
  <c r="AR100" i="53"/>
  <c r="AT85" i="53"/>
  <c r="AU98" i="53"/>
  <c r="AU78" i="53"/>
  <c r="AU74" i="53"/>
  <c r="AS84" i="53"/>
  <c r="AS86" i="53"/>
  <c r="AR81" i="53"/>
  <c r="AN228" i="53" l="1"/>
  <c r="AS24" i="53"/>
  <c r="AN223" i="53"/>
  <c r="AN224" i="53"/>
  <c r="AN227" i="53"/>
  <c r="AN220" i="53"/>
  <c r="AN225" i="53"/>
  <c r="AN222" i="53"/>
  <c r="AN226" i="53"/>
  <c r="AP46" i="53"/>
  <c r="AP52" i="53" s="1"/>
  <c r="AP44" i="53"/>
  <c r="AP50" i="53" s="1"/>
  <c r="AP43" i="53"/>
  <c r="AP49" i="53" s="1"/>
  <c r="AP45" i="53"/>
  <c r="AP51" i="53" s="1"/>
  <c r="AO203" i="53"/>
  <c r="AO204" i="53"/>
  <c r="AO198" i="53"/>
  <c r="AO199" i="53"/>
  <c r="AO205" i="53"/>
  <c r="AO201" i="53"/>
  <c r="AO202" i="53"/>
  <c r="AO200" i="53"/>
  <c r="AO197" i="53"/>
  <c r="AO53" i="53"/>
  <c r="AO181" i="53"/>
  <c r="AO240" i="53" s="1"/>
  <c r="AO180" i="53"/>
  <c r="AO239" i="53" s="1"/>
  <c r="AO182" i="53"/>
  <c r="AO241" i="53" s="1"/>
  <c r="AO178" i="53"/>
  <c r="AO237" i="53" s="1"/>
  <c r="AO175" i="53"/>
  <c r="AO234" i="53" s="1"/>
  <c r="AO176" i="53"/>
  <c r="AO235" i="53" s="1"/>
  <c r="AO177" i="53"/>
  <c r="AO236" i="53" s="1"/>
  <c r="AO179" i="53"/>
  <c r="AO238" i="53" s="1"/>
  <c r="AO174" i="53"/>
  <c r="AO233" i="53" s="1"/>
  <c r="AS31" i="53"/>
  <c r="AS34" i="53" s="1"/>
  <c r="AS153" i="53" s="1"/>
  <c r="AT23" i="53"/>
  <c r="AR35" i="53"/>
  <c r="AR157" i="53"/>
  <c r="AR158" i="53"/>
  <c r="AM245" i="53"/>
  <c r="AO215" i="53"/>
  <c r="AO214" i="53"/>
  <c r="AO216" i="53"/>
  <c r="AO212" i="53"/>
  <c r="AO209" i="53"/>
  <c r="AO210" i="53"/>
  <c r="AO211" i="53"/>
  <c r="AO213" i="53"/>
  <c r="AO208" i="53"/>
  <c r="AO192" i="53"/>
  <c r="AO193" i="53"/>
  <c r="AO190" i="53"/>
  <c r="AO194" i="53"/>
  <c r="AO187" i="53"/>
  <c r="AO188" i="53"/>
  <c r="AO191" i="53"/>
  <c r="AO189" i="53"/>
  <c r="AO186" i="53"/>
  <c r="AQ169" i="53"/>
  <c r="AQ168" i="53"/>
  <c r="AQ166" i="53"/>
  <c r="AQ170" i="53"/>
  <c r="AQ167" i="53"/>
  <c r="AQ163" i="53"/>
  <c r="AQ164" i="53"/>
  <c r="AQ162" i="53"/>
  <c r="AQ36" i="53"/>
  <c r="AQ41" i="53" s="1"/>
  <c r="AQ165" i="53"/>
  <c r="AS81" i="53"/>
  <c r="AR159" i="53"/>
  <c r="AS100" i="53"/>
  <c r="AU82" i="53"/>
  <c r="AU70" i="53"/>
  <c r="AR152" i="53"/>
  <c r="AS93" i="53"/>
  <c r="AT94" i="53"/>
  <c r="AT96" i="53"/>
  <c r="AT73" i="53"/>
  <c r="AR154" i="53"/>
  <c r="AS95" i="53"/>
  <c r="AQ151" i="53"/>
  <c r="AR92" i="53"/>
  <c r="AT97" i="53"/>
  <c r="AT86" i="53"/>
  <c r="AT84" i="53"/>
  <c r="AU85" i="53"/>
  <c r="AU89" i="53"/>
  <c r="AU83" i="53"/>
  <c r="AU72" i="53"/>
  <c r="AU71" i="53"/>
  <c r="AU75" i="53"/>
  <c r="AU99" i="53"/>
  <c r="AS156" i="53" l="1"/>
  <c r="AO228" i="53"/>
  <c r="AO224" i="53"/>
  <c r="AN245" i="53"/>
  <c r="AO220" i="53"/>
  <c r="AO225" i="53"/>
  <c r="AO221" i="53"/>
  <c r="AO226" i="53"/>
  <c r="AS155" i="53"/>
  <c r="AO223" i="53"/>
  <c r="AO222" i="53"/>
  <c r="AO227" i="53"/>
  <c r="AT31" i="53"/>
  <c r="AT34" i="53" s="1"/>
  <c r="AU23" i="53"/>
  <c r="AS35" i="53"/>
  <c r="AS157" i="53"/>
  <c r="AS158" i="53"/>
  <c r="AT24" i="53"/>
  <c r="AU24" i="53" s="1"/>
  <c r="AP204" i="53"/>
  <c r="AP203" i="53"/>
  <c r="AP201" i="53"/>
  <c r="AP199" i="53"/>
  <c r="AP205" i="53"/>
  <c r="AP198" i="53"/>
  <c r="AP202" i="53"/>
  <c r="AP200" i="53"/>
  <c r="AP197" i="53"/>
  <c r="AP193" i="53"/>
  <c r="AP192" i="53"/>
  <c r="AP187" i="53"/>
  <c r="AP190" i="53"/>
  <c r="AP188" i="53"/>
  <c r="AP194" i="53"/>
  <c r="AP189" i="53"/>
  <c r="AP191" i="53"/>
  <c r="AP186" i="53"/>
  <c r="AQ46" i="53"/>
  <c r="AQ52" i="53" s="1"/>
  <c r="AQ44" i="53"/>
  <c r="AQ50" i="53" s="1"/>
  <c r="AQ45" i="53"/>
  <c r="AQ51" i="53" s="1"/>
  <c r="AQ43" i="53"/>
  <c r="AQ49" i="53" s="1"/>
  <c r="AR168" i="53"/>
  <c r="AR169" i="53"/>
  <c r="AR170" i="53"/>
  <c r="AR166" i="53"/>
  <c r="AR164" i="53"/>
  <c r="AR163" i="53"/>
  <c r="AR167" i="53"/>
  <c r="AR162" i="53"/>
  <c r="AR36" i="53"/>
  <c r="AR41" i="53" s="1"/>
  <c r="AR165" i="53"/>
  <c r="AP181" i="53"/>
  <c r="AP240" i="53" s="1"/>
  <c r="AP53" i="53"/>
  <c r="AP180" i="53"/>
  <c r="AP239" i="53" s="1"/>
  <c r="AP175" i="53"/>
  <c r="AP234" i="53" s="1"/>
  <c r="AP182" i="53"/>
  <c r="AP241" i="53" s="1"/>
  <c r="AP178" i="53"/>
  <c r="AP237" i="53" s="1"/>
  <c r="AP176" i="53"/>
  <c r="AP235" i="53" s="1"/>
  <c r="AP179" i="53"/>
  <c r="AP238" i="53" s="1"/>
  <c r="AP177" i="53"/>
  <c r="AP236" i="53" s="1"/>
  <c r="AP174" i="53"/>
  <c r="AP233" i="53" s="1"/>
  <c r="AP214" i="53"/>
  <c r="AP215" i="53"/>
  <c r="AP212" i="53"/>
  <c r="AP210" i="53"/>
  <c r="AP209" i="53"/>
  <c r="AP216" i="53"/>
  <c r="AP211" i="53"/>
  <c r="AP213" i="53"/>
  <c r="AP208" i="53"/>
  <c r="AU84" i="53"/>
  <c r="AT156" i="53"/>
  <c r="AU97" i="53"/>
  <c r="AU73" i="53"/>
  <c r="AT155" i="53"/>
  <c r="AU96" i="53"/>
  <c r="AT153" i="53"/>
  <c r="AU94" i="53"/>
  <c r="AU86" i="53"/>
  <c r="AR151" i="53"/>
  <c r="AS92" i="53"/>
  <c r="AT95" i="53"/>
  <c r="AS154" i="53"/>
  <c r="AT93" i="53"/>
  <c r="AS152" i="53"/>
  <c r="AT100" i="53"/>
  <c r="AS159" i="53"/>
  <c r="AT81" i="53"/>
  <c r="AO245" i="53" l="1"/>
  <c r="AQ53" i="53"/>
  <c r="AQ180" i="53"/>
  <c r="AQ239" i="53" s="1"/>
  <c r="AM254" i="53" s="1"/>
  <c r="AJ110" i="47" s="1"/>
  <c r="AQ181" i="53"/>
  <c r="AQ240" i="53" s="1"/>
  <c r="AM255" i="53" s="1"/>
  <c r="AJ116" i="47" s="1"/>
  <c r="AQ182" i="53"/>
  <c r="AQ241" i="53" s="1"/>
  <c r="AM256" i="53" s="1"/>
  <c r="AJ114" i="47" s="1"/>
  <c r="AQ176" i="53"/>
  <c r="AQ235" i="53" s="1"/>
  <c r="AM250" i="53" s="1"/>
  <c r="AJ112" i="47" s="1"/>
  <c r="AQ178" i="53"/>
  <c r="AQ237" i="53" s="1"/>
  <c r="AM252" i="53" s="1"/>
  <c r="AJ115" i="47" s="1"/>
  <c r="AQ175" i="53"/>
  <c r="AQ234" i="53" s="1"/>
  <c r="AM249" i="53" s="1"/>
  <c r="AJ111" i="47" s="1"/>
  <c r="AQ179" i="53"/>
  <c r="AQ238" i="53" s="1"/>
  <c r="AM253" i="53" s="1"/>
  <c r="AJ117" i="47" s="1"/>
  <c r="AQ177" i="53"/>
  <c r="AQ236" i="53" s="1"/>
  <c r="AM251" i="53" s="1"/>
  <c r="AJ113" i="47" s="1"/>
  <c r="AQ174" i="53"/>
  <c r="AQ233" i="53" s="1"/>
  <c r="AM248" i="53" s="1"/>
  <c r="AJ109" i="47" s="1"/>
  <c r="AQ192" i="53"/>
  <c r="AQ193" i="53"/>
  <c r="AQ187" i="53"/>
  <c r="AQ194" i="53"/>
  <c r="AQ188" i="53"/>
  <c r="AQ190" i="53"/>
  <c r="AQ191" i="53"/>
  <c r="AQ189" i="53"/>
  <c r="AQ186" i="53"/>
  <c r="AP225" i="53"/>
  <c r="AP228" i="53"/>
  <c r="AP224" i="53"/>
  <c r="AP226" i="53"/>
  <c r="AS168" i="53"/>
  <c r="AS169" i="53"/>
  <c r="AS166" i="53"/>
  <c r="AS170" i="53"/>
  <c r="AS162" i="53"/>
  <c r="AS167" i="53"/>
  <c r="AS163" i="53"/>
  <c r="AS164" i="53"/>
  <c r="AS36" i="53"/>
  <c r="AS41" i="53" s="1"/>
  <c r="AS165" i="53"/>
  <c r="AR45" i="53"/>
  <c r="AR51" i="53" s="1"/>
  <c r="AR46" i="53"/>
  <c r="AR52" i="53" s="1"/>
  <c r="AR43" i="53"/>
  <c r="AR49" i="53" s="1"/>
  <c r="AR44" i="53"/>
  <c r="AR50" i="53" s="1"/>
  <c r="AQ203" i="53"/>
  <c r="AQ204" i="53"/>
  <c r="AQ198" i="53"/>
  <c r="AQ205" i="53"/>
  <c r="AQ201" i="53"/>
  <c r="AQ199" i="53"/>
  <c r="AQ202" i="53"/>
  <c r="AQ200" i="53"/>
  <c r="AQ197" i="53"/>
  <c r="AQ214" i="53"/>
  <c r="AQ215" i="53"/>
  <c r="AQ209" i="53"/>
  <c r="AQ210" i="53"/>
  <c r="AQ216" i="53"/>
  <c r="AQ212" i="53"/>
  <c r="AQ213" i="53"/>
  <c r="AQ211" i="53"/>
  <c r="AQ208" i="53"/>
  <c r="AP220" i="53"/>
  <c r="AP223" i="53"/>
  <c r="AP222" i="53"/>
  <c r="AP221" i="53"/>
  <c r="AP227" i="53"/>
  <c r="AU31" i="53"/>
  <c r="AU34" i="53" s="1"/>
  <c r="AU155" i="53" s="1"/>
  <c r="AV23" i="53"/>
  <c r="AT35" i="53"/>
  <c r="AT157" i="53"/>
  <c r="AT158" i="53"/>
  <c r="AU81" i="53"/>
  <c r="AT159" i="53"/>
  <c r="AU100" i="53"/>
  <c r="AU159" i="53" s="1"/>
  <c r="AT152" i="53"/>
  <c r="AU93" i="53"/>
  <c r="AU152" i="53" s="1"/>
  <c r="AT154" i="53"/>
  <c r="AU95" i="53"/>
  <c r="AU154" i="53" s="1"/>
  <c r="AT92" i="53"/>
  <c r="AS151" i="53"/>
  <c r="AT168" i="53" l="1"/>
  <c r="AT169" i="53"/>
  <c r="AT170" i="53"/>
  <c r="AT166" i="53"/>
  <c r="AT162" i="53"/>
  <c r="AT164" i="53"/>
  <c r="AT163" i="53"/>
  <c r="AT167" i="53"/>
  <c r="AT165" i="53"/>
  <c r="AT36" i="53"/>
  <c r="AT41" i="53" s="1"/>
  <c r="AP245" i="53"/>
  <c r="AR192" i="53"/>
  <c r="AR193" i="53"/>
  <c r="AR187" i="53"/>
  <c r="AR190" i="53"/>
  <c r="AR194" i="53"/>
  <c r="AR188" i="53"/>
  <c r="AR189" i="53"/>
  <c r="AR191" i="53"/>
  <c r="AR186" i="53"/>
  <c r="AR215" i="53"/>
  <c r="AR214" i="53"/>
  <c r="AR212" i="53"/>
  <c r="AR216" i="53"/>
  <c r="AR210" i="53"/>
  <c r="AR209" i="53"/>
  <c r="AR213" i="53"/>
  <c r="AR211" i="53"/>
  <c r="AR208" i="53"/>
  <c r="AQ223" i="53"/>
  <c r="AM261" i="53" s="1"/>
  <c r="AJ122" i="47" s="1"/>
  <c r="AQ224" i="53"/>
  <c r="AM262" i="53" s="1"/>
  <c r="AJ124" i="47" s="1"/>
  <c r="AQ228" i="53"/>
  <c r="AM266" i="53" s="1"/>
  <c r="AJ123" i="47" s="1"/>
  <c r="AQ227" i="53"/>
  <c r="AM265" i="53" s="1"/>
  <c r="AJ125" i="47" s="1"/>
  <c r="AU156" i="53"/>
  <c r="AV31" i="53"/>
  <c r="AV34" i="53" s="1"/>
  <c r="AU35" i="53"/>
  <c r="AU157" i="53"/>
  <c r="AU158" i="53"/>
  <c r="AV24" i="53"/>
  <c r="AR53" i="53"/>
  <c r="AR180" i="53"/>
  <c r="AR239" i="53" s="1"/>
  <c r="AR181" i="53"/>
  <c r="AR240" i="53" s="1"/>
  <c r="AR182" i="53"/>
  <c r="AR241" i="53" s="1"/>
  <c r="AR175" i="53"/>
  <c r="AR234" i="53" s="1"/>
  <c r="AR178" i="53"/>
  <c r="AR237" i="53" s="1"/>
  <c r="AR176" i="53"/>
  <c r="AR235" i="53" s="1"/>
  <c r="AR177" i="53"/>
  <c r="AR236" i="53" s="1"/>
  <c r="AR179" i="53"/>
  <c r="AR238" i="53" s="1"/>
  <c r="AR174" i="53"/>
  <c r="AR233" i="53" s="1"/>
  <c r="AR204" i="53"/>
  <c r="AR203" i="53"/>
  <c r="AR201" i="53"/>
  <c r="AR199" i="53"/>
  <c r="AR205" i="53"/>
  <c r="AR198" i="53"/>
  <c r="AR200" i="53"/>
  <c r="AR202" i="53"/>
  <c r="AR197" i="53"/>
  <c r="AS46" i="53"/>
  <c r="AS52" i="53" s="1"/>
  <c r="AS45" i="53"/>
  <c r="AS51" i="53" s="1"/>
  <c r="AS44" i="53"/>
  <c r="AS50" i="53" s="1"/>
  <c r="AS43" i="53"/>
  <c r="AS49" i="53" s="1"/>
  <c r="AQ220" i="53"/>
  <c r="AQ225" i="53"/>
  <c r="AM263" i="53" s="1"/>
  <c r="AJ126" i="47" s="1"/>
  <c r="AQ222" i="53"/>
  <c r="AM260" i="53" s="1"/>
  <c r="AJ121" i="47" s="1"/>
  <c r="AQ221" i="53"/>
  <c r="AM259" i="53" s="1"/>
  <c r="AJ120" i="47" s="1"/>
  <c r="AQ226" i="53"/>
  <c r="AM264" i="53" s="1"/>
  <c r="AJ119" i="47" s="1"/>
  <c r="AU153" i="53"/>
  <c r="AT151" i="53"/>
  <c r="AU92" i="53"/>
  <c r="AU151" i="53" s="1"/>
  <c r="AQ245" i="53" l="1"/>
  <c r="AM258" i="53"/>
  <c r="AJ118" i="47" s="1"/>
  <c r="AS53" i="53"/>
  <c r="AS180" i="53"/>
  <c r="AS239" i="53" s="1"/>
  <c r="AS181" i="53"/>
  <c r="AS240" i="53" s="1"/>
  <c r="AS176" i="53"/>
  <c r="AS235" i="53" s="1"/>
  <c r="AS178" i="53"/>
  <c r="AS237" i="53" s="1"/>
  <c r="AS175" i="53"/>
  <c r="AS234" i="53" s="1"/>
  <c r="AS182" i="53"/>
  <c r="AS241" i="53" s="1"/>
  <c r="AS179" i="53"/>
  <c r="AS238" i="53" s="1"/>
  <c r="AS177" i="53"/>
  <c r="AS236" i="53" s="1"/>
  <c r="AS174" i="53"/>
  <c r="AS233" i="53" s="1"/>
  <c r="AS204" i="53"/>
  <c r="AS203" i="53"/>
  <c r="AS199" i="53"/>
  <c r="AS205" i="53"/>
  <c r="AS198" i="53"/>
  <c r="AS201" i="53"/>
  <c r="AS202" i="53"/>
  <c r="AS200" i="53"/>
  <c r="AS197" i="53"/>
  <c r="AU168" i="53"/>
  <c r="AU169" i="53"/>
  <c r="AU166" i="53"/>
  <c r="AU170" i="53"/>
  <c r="AU163" i="53"/>
  <c r="AU162" i="53"/>
  <c r="AU167" i="53"/>
  <c r="AU164" i="53"/>
  <c r="AU165" i="53"/>
  <c r="AU36" i="53"/>
  <c r="AU41" i="53" s="1"/>
  <c r="AV35" i="53"/>
  <c r="AV157" i="53"/>
  <c r="AV158" i="53"/>
  <c r="AV159" i="53"/>
  <c r="AV152" i="53"/>
  <c r="AV155" i="53"/>
  <c r="AV156" i="53"/>
  <c r="AV153" i="53"/>
  <c r="AV154" i="53"/>
  <c r="AV151" i="53"/>
  <c r="AR225" i="53"/>
  <c r="AR222" i="53"/>
  <c r="AR224" i="53"/>
  <c r="AR227" i="53"/>
  <c r="AS193" i="53"/>
  <c r="AS192" i="53"/>
  <c r="AS187" i="53"/>
  <c r="AS194" i="53"/>
  <c r="AS188" i="53"/>
  <c r="AS190" i="53"/>
  <c r="AS191" i="53"/>
  <c r="AS189" i="53"/>
  <c r="AS186" i="53"/>
  <c r="AS214" i="53"/>
  <c r="AS215" i="53"/>
  <c r="AS209" i="53"/>
  <c r="AS212" i="53"/>
  <c r="AS210" i="53"/>
  <c r="AS216" i="53"/>
  <c r="AS211" i="53"/>
  <c r="AS213" i="53"/>
  <c r="AS208" i="53"/>
  <c r="AR220" i="53"/>
  <c r="AR223" i="53"/>
  <c r="AR228" i="53"/>
  <c r="AR221" i="53"/>
  <c r="AR226" i="53"/>
  <c r="AT46" i="53"/>
  <c r="AT52" i="53" s="1"/>
  <c r="AT45" i="53"/>
  <c r="AT51" i="53" s="1"/>
  <c r="AT44" i="53"/>
  <c r="AT50" i="53" s="1"/>
  <c r="AT43" i="53"/>
  <c r="AT49" i="53" s="1"/>
  <c r="AS220" i="53" l="1"/>
  <c r="AT53" i="53"/>
  <c r="AT180" i="53"/>
  <c r="AT239" i="53" s="1"/>
  <c r="AT181" i="53"/>
  <c r="AT240" i="53" s="1"/>
  <c r="AT178" i="53"/>
  <c r="AT237" i="53" s="1"/>
  <c r="AT182" i="53"/>
  <c r="AT241" i="53" s="1"/>
  <c r="AT175" i="53"/>
  <c r="AT234" i="53" s="1"/>
  <c r="AT176" i="53"/>
  <c r="AT235" i="53" s="1"/>
  <c r="AT177" i="53"/>
  <c r="AT236" i="53" s="1"/>
  <c r="AT179" i="53"/>
  <c r="AT238" i="53" s="1"/>
  <c r="AT174" i="53"/>
  <c r="AT233" i="53" s="1"/>
  <c r="AT203" i="53"/>
  <c r="AT204" i="53"/>
  <c r="AT198" i="53"/>
  <c r="AT205" i="53"/>
  <c r="AT201" i="53"/>
  <c r="AT199" i="53"/>
  <c r="AT202" i="53"/>
  <c r="AT200" i="53"/>
  <c r="AT197" i="53"/>
  <c r="AR245" i="53"/>
  <c r="AS223" i="53"/>
  <c r="AS224" i="53"/>
  <c r="AS228" i="53"/>
  <c r="AS226" i="53"/>
  <c r="AV168" i="53"/>
  <c r="AV169" i="53"/>
  <c r="AV164" i="53"/>
  <c r="AV167" i="53"/>
  <c r="AV170" i="53"/>
  <c r="AV163" i="53"/>
  <c r="AV166" i="53"/>
  <c r="AV165" i="53"/>
  <c r="AV162" i="53"/>
  <c r="AV36" i="53"/>
  <c r="AV41" i="53" s="1"/>
  <c r="AT193" i="53"/>
  <c r="AT192" i="53"/>
  <c r="AT187" i="53"/>
  <c r="AT190" i="53"/>
  <c r="AT188" i="53"/>
  <c r="AT194" i="53"/>
  <c r="AT191" i="53"/>
  <c r="AT189" i="53"/>
  <c r="AT186" i="53"/>
  <c r="AT214" i="53"/>
  <c r="AT215" i="53"/>
  <c r="AT210" i="53"/>
  <c r="AT209" i="53"/>
  <c r="AT212" i="53"/>
  <c r="AT216" i="53"/>
  <c r="AT211" i="53"/>
  <c r="AT213" i="53"/>
  <c r="AT208" i="53"/>
  <c r="AS225" i="53"/>
  <c r="AS222" i="53"/>
  <c r="AS221" i="53"/>
  <c r="AS227" i="53"/>
  <c r="AU46" i="53"/>
  <c r="AU52" i="53" s="1"/>
  <c r="AU44" i="53"/>
  <c r="AU50" i="53" s="1"/>
  <c r="AU43" i="53"/>
  <c r="AU49" i="53" s="1"/>
  <c r="AU45" i="53"/>
  <c r="AU51" i="53" s="1"/>
  <c r="AS245" i="53" l="1"/>
  <c r="AU180" i="53"/>
  <c r="AU239" i="53" s="1"/>
  <c r="AU181" i="53"/>
  <c r="AU240" i="53" s="1"/>
  <c r="AU53" i="53"/>
  <c r="AU175" i="53"/>
  <c r="AU234" i="53" s="1"/>
  <c r="AU182" i="53"/>
  <c r="AU241" i="53" s="1"/>
  <c r="AU176" i="53"/>
  <c r="AU235" i="53" s="1"/>
  <c r="AU178" i="53"/>
  <c r="AU237" i="53" s="1"/>
  <c r="AU177" i="53"/>
  <c r="AU236" i="53" s="1"/>
  <c r="AU179" i="53"/>
  <c r="AU238" i="53" s="1"/>
  <c r="AU174" i="53"/>
  <c r="AU233" i="53" s="1"/>
  <c r="AU214" i="53"/>
  <c r="AU215" i="53"/>
  <c r="AU212" i="53"/>
  <c r="AU210" i="53"/>
  <c r="AU209" i="53"/>
  <c r="AU216" i="53"/>
  <c r="AU213" i="53"/>
  <c r="AU211" i="53"/>
  <c r="AU208" i="53"/>
  <c r="AT220" i="53"/>
  <c r="AT225" i="53"/>
  <c r="AT222" i="53"/>
  <c r="AT221" i="53"/>
  <c r="AT227" i="53"/>
  <c r="AV43" i="53"/>
  <c r="AV49" i="53" s="1"/>
  <c r="AV46" i="53"/>
  <c r="AV52" i="53" s="1"/>
  <c r="AV44" i="53"/>
  <c r="AV50" i="53" s="1"/>
  <c r="AV45" i="53"/>
  <c r="AV51" i="53" s="1"/>
  <c r="AU203" i="53"/>
  <c r="AU204" i="53"/>
  <c r="AU199" i="53"/>
  <c r="AU205" i="53"/>
  <c r="AU198" i="53"/>
  <c r="AU201" i="53"/>
  <c r="AU200" i="53"/>
  <c r="AU202" i="53"/>
  <c r="AU197" i="53"/>
  <c r="AU192" i="53"/>
  <c r="AU193" i="53"/>
  <c r="AU188" i="53"/>
  <c r="AU187" i="53"/>
  <c r="AU190" i="53"/>
  <c r="AU194" i="53"/>
  <c r="AU191" i="53"/>
  <c r="AU189" i="53"/>
  <c r="AU186" i="53"/>
  <c r="AT223" i="53"/>
  <c r="AT228" i="53"/>
  <c r="AT224" i="53"/>
  <c r="AT226" i="53"/>
  <c r="AU221" i="53" l="1"/>
  <c r="AU223" i="53"/>
  <c r="AU228" i="53"/>
  <c r="AU227" i="53"/>
  <c r="AU220" i="53"/>
  <c r="AU225" i="53"/>
  <c r="AU224" i="53"/>
  <c r="AU222" i="53"/>
  <c r="AU226" i="53"/>
  <c r="AV193" i="53"/>
  <c r="AV192" i="53"/>
  <c r="AV190" i="53"/>
  <c r="AV191" i="53"/>
  <c r="AV188" i="53"/>
  <c r="AV187" i="53"/>
  <c r="AV194" i="53"/>
  <c r="AV186" i="53"/>
  <c r="AV189" i="53"/>
  <c r="AV53" i="53"/>
  <c r="AV180" i="53"/>
  <c r="AV239" i="53" s="1"/>
  <c r="AN254" i="53" s="1"/>
  <c r="AV181" i="53"/>
  <c r="AV240" i="53" s="1"/>
  <c r="AN255" i="53" s="1"/>
  <c r="AV176" i="53"/>
  <c r="AV235" i="53" s="1"/>
  <c r="AN250" i="53" s="1"/>
  <c r="AV178" i="53"/>
  <c r="AV237" i="53" s="1"/>
  <c r="AN252" i="53" s="1"/>
  <c r="AV175" i="53"/>
  <c r="AV234" i="53" s="1"/>
  <c r="AN249" i="53" s="1"/>
  <c r="AV182" i="53"/>
  <c r="AV241" i="53" s="1"/>
  <c r="AN256" i="53" s="1"/>
  <c r="AV179" i="53"/>
  <c r="AV238" i="53" s="1"/>
  <c r="AN253" i="53" s="1"/>
  <c r="AV174" i="53"/>
  <c r="AV233" i="53" s="1"/>
  <c r="AN248" i="53" s="1"/>
  <c r="AV177" i="53"/>
  <c r="AV236" i="53" s="1"/>
  <c r="AN251" i="53" s="1"/>
  <c r="AV204" i="53"/>
  <c r="AV203" i="53"/>
  <c r="AV202" i="53"/>
  <c r="AV199" i="53"/>
  <c r="AV198" i="53"/>
  <c r="AV201" i="53"/>
  <c r="AV205" i="53"/>
  <c r="AV197" i="53"/>
  <c r="AV200" i="53"/>
  <c r="AV215" i="53"/>
  <c r="AV214" i="53"/>
  <c r="AV213" i="53"/>
  <c r="AV216" i="53"/>
  <c r="AV210" i="53"/>
  <c r="AV212" i="53"/>
  <c r="AV209" i="53"/>
  <c r="AV211" i="53"/>
  <c r="AV208" i="53"/>
  <c r="AT245" i="53"/>
  <c r="AU245" i="53" l="1"/>
  <c r="AK109" i="47"/>
  <c r="AO248" i="53"/>
  <c r="AK114" i="47"/>
  <c r="AO256" i="53"/>
  <c r="AK115" i="47"/>
  <c r="AO252" i="53"/>
  <c r="AO255" i="53"/>
  <c r="AK116" i="47"/>
  <c r="AV220" i="53"/>
  <c r="AV221" i="53"/>
  <c r="AN259" i="53" s="1"/>
  <c r="AV225" i="53"/>
  <c r="AN263" i="53" s="1"/>
  <c r="AV226" i="53"/>
  <c r="AN264" i="53" s="1"/>
  <c r="AK113" i="47"/>
  <c r="AO251" i="53"/>
  <c r="AO253" i="53"/>
  <c r="AK117" i="47"/>
  <c r="AK111" i="47"/>
  <c r="AO249" i="53"/>
  <c r="AO250" i="53"/>
  <c r="AK112" i="47"/>
  <c r="AO254" i="53"/>
  <c r="AK110" i="47"/>
  <c r="AV223" i="53"/>
  <c r="AN261" i="53" s="1"/>
  <c r="AV228" i="53"/>
  <c r="AN266" i="53" s="1"/>
  <c r="AV222" i="53"/>
  <c r="AN260" i="53" s="1"/>
  <c r="AV224" i="53"/>
  <c r="AN262" i="53" s="1"/>
  <c r="AV227" i="53"/>
  <c r="AN265" i="53" s="1"/>
  <c r="AO262" i="53" l="1"/>
  <c r="AK124" i="47"/>
  <c r="AK123" i="47"/>
  <c r="AO266" i="53"/>
  <c r="AL111" i="47"/>
  <c r="AP249" i="53"/>
  <c r="AM111" i="47" s="1"/>
  <c r="AP251" i="53"/>
  <c r="AM113" i="47" s="1"/>
  <c r="AL113" i="47"/>
  <c r="AO264" i="53"/>
  <c r="AK119" i="47"/>
  <c r="AK120" i="47"/>
  <c r="AO259" i="53"/>
  <c r="AL115" i="47"/>
  <c r="AP252" i="53"/>
  <c r="AM115" i="47" s="1"/>
  <c r="AP256" i="53"/>
  <c r="AM114" i="47" s="1"/>
  <c r="AL114" i="47"/>
  <c r="AL109" i="47"/>
  <c r="AP248" i="53"/>
  <c r="AM109" i="47" s="1"/>
  <c r="AK125" i="47"/>
  <c r="AO265" i="53"/>
  <c r="AK121" i="47"/>
  <c r="AO260" i="53"/>
  <c r="AK122" i="47"/>
  <c r="AO261" i="53"/>
  <c r="AL110" i="47"/>
  <c r="AP254" i="53"/>
  <c r="AM110" i="47" s="1"/>
  <c r="AP250" i="53"/>
  <c r="AM112" i="47" s="1"/>
  <c r="AL112" i="47"/>
  <c r="AL117" i="47"/>
  <c r="AP253" i="53"/>
  <c r="AM117" i="47" s="1"/>
  <c r="AO263" i="53"/>
  <c r="AK126" i="47"/>
  <c r="AN258" i="53"/>
  <c r="AV245" i="53"/>
  <c r="AP255" i="53"/>
  <c r="AM116" i="47" s="1"/>
  <c r="AL116" i="47"/>
  <c r="AP261" i="53" l="1"/>
  <c r="AM122" i="47" s="1"/>
  <c r="AL122" i="47"/>
  <c r="AP260" i="53"/>
  <c r="AM121" i="47" s="1"/>
  <c r="AL121" i="47"/>
  <c r="AL125" i="47"/>
  <c r="AP265" i="53"/>
  <c r="AM125" i="47" s="1"/>
  <c r="AL120" i="47"/>
  <c r="AP259" i="53"/>
  <c r="AM120" i="47" s="1"/>
  <c r="AL123" i="47"/>
  <c r="AP266" i="53"/>
  <c r="AM123" i="47" s="1"/>
  <c r="AO258" i="53"/>
  <c r="AK118" i="47"/>
  <c r="AP263" i="53"/>
  <c r="AM126" i="47" s="1"/>
  <c r="AL126" i="47"/>
  <c r="AL119" i="47"/>
  <c r="AP264" i="53"/>
  <c r="AM119" i="47" s="1"/>
  <c r="AL124" i="47"/>
  <c r="AP262" i="53"/>
  <c r="AM124" i="47" s="1"/>
  <c r="AL118" i="47" l="1"/>
  <c r="AP258" i="53"/>
  <c r="AM118" i="47" s="1"/>
  <c r="O105" i="32" l="1"/>
  <c r="O126" i="32"/>
  <c r="O127" i="32"/>
  <c r="P126" i="32" l="1"/>
  <c r="P105" i="32"/>
  <c r="Q105" i="32" s="1"/>
  <c r="R105" i="32" s="1"/>
  <c r="S105" i="32" s="1"/>
  <c r="T105" i="32" s="1"/>
  <c r="U105" i="32" s="1"/>
  <c r="V105" i="32" s="1"/>
  <c r="W105" i="32" s="1"/>
  <c r="X105" i="32" s="1"/>
  <c r="Y105" i="32" s="1"/>
  <c r="Z105" i="32" s="1"/>
  <c r="AA105" i="32" s="1"/>
  <c r="AB105" i="32" s="1"/>
  <c r="AC105" i="32" s="1"/>
  <c r="AD105" i="32" s="1"/>
  <c r="AE105" i="32" s="1"/>
  <c r="AF105" i="32" s="1"/>
  <c r="AG105" i="32" s="1"/>
  <c r="AH105" i="32" s="1"/>
  <c r="AI105" i="32" s="1"/>
  <c r="AJ105" i="32" s="1"/>
  <c r="AK105" i="32" s="1"/>
  <c r="AL105" i="32" s="1"/>
  <c r="AM105" i="32" s="1"/>
  <c r="AN105" i="32" s="1"/>
  <c r="AO105" i="32" s="1"/>
  <c r="AP105" i="32" s="1"/>
  <c r="O136" i="32"/>
  <c r="O134" i="32"/>
  <c r="O130" i="32"/>
  <c r="O133" i="32"/>
  <c r="O116" i="32"/>
  <c r="O106" i="32"/>
  <c r="O117" i="32"/>
  <c r="O125" i="32"/>
  <c r="O115" i="32"/>
  <c r="O128" i="32"/>
  <c r="O132" i="32"/>
  <c r="Q126" i="32" l="1"/>
  <c r="P132" i="32"/>
  <c r="Q132" i="32" s="1"/>
  <c r="R132" i="32" s="1"/>
  <c r="S132" i="32" s="1"/>
  <c r="T132" i="32" s="1"/>
  <c r="U132" i="32" s="1"/>
  <c r="V132" i="32" s="1"/>
  <c r="W132" i="32" s="1"/>
  <c r="X132" i="32" s="1"/>
  <c r="Y132" i="32" s="1"/>
  <c r="Z132" i="32" s="1"/>
  <c r="AA132" i="32" s="1"/>
  <c r="AB132" i="32" s="1"/>
  <c r="AC132" i="32" s="1"/>
  <c r="AD132" i="32" s="1"/>
  <c r="AE132" i="32" s="1"/>
  <c r="AF132" i="32" s="1"/>
  <c r="AG132" i="32" s="1"/>
  <c r="AH132" i="32" s="1"/>
  <c r="AI132" i="32" s="1"/>
  <c r="AJ132" i="32" s="1"/>
  <c r="AK132" i="32" s="1"/>
  <c r="AL132" i="32" s="1"/>
  <c r="AM132" i="32" s="1"/>
  <c r="AN132" i="32" s="1"/>
  <c r="AO132" i="32" s="1"/>
  <c r="AP132" i="32" s="1"/>
  <c r="J105" i="32"/>
  <c r="P128" i="32"/>
  <c r="J127" i="32"/>
  <c r="J116" i="32"/>
  <c r="M116" i="32" s="1"/>
  <c r="P117" i="32"/>
  <c r="Q117" i="32" s="1"/>
  <c r="R117" i="32" s="1"/>
  <c r="S117" i="32" s="1"/>
  <c r="T117" i="32" s="1"/>
  <c r="U117" i="32" s="1"/>
  <c r="V117" i="32" s="1"/>
  <c r="W117" i="32" s="1"/>
  <c r="X117" i="32" s="1"/>
  <c r="Y117" i="32" s="1"/>
  <c r="Z117" i="32" s="1"/>
  <c r="AA117" i="32" s="1"/>
  <c r="AB117" i="32" s="1"/>
  <c r="AC117" i="32" s="1"/>
  <c r="AD117" i="32" s="1"/>
  <c r="AE117" i="32" s="1"/>
  <c r="AF117" i="32" s="1"/>
  <c r="AG117" i="32" s="1"/>
  <c r="AH117" i="32" s="1"/>
  <c r="AI117" i="32" s="1"/>
  <c r="AJ117" i="32" s="1"/>
  <c r="AK117" i="32" s="1"/>
  <c r="AL117" i="32" s="1"/>
  <c r="AM117" i="32" s="1"/>
  <c r="AN117" i="32" s="1"/>
  <c r="AO117" i="32" s="1"/>
  <c r="AP117" i="32" s="1"/>
  <c r="P106" i="32"/>
  <c r="Q106" i="32" s="1"/>
  <c r="R106" i="32" s="1"/>
  <c r="S106" i="32" s="1"/>
  <c r="T106" i="32" s="1"/>
  <c r="U106" i="32" s="1"/>
  <c r="V106" i="32" s="1"/>
  <c r="W106" i="32" s="1"/>
  <c r="X106" i="32" s="1"/>
  <c r="Y106" i="32" s="1"/>
  <c r="Z106" i="32" s="1"/>
  <c r="AA106" i="32" s="1"/>
  <c r="AB106" i="32" s="1"/>
  <c r="AC106" i="32" s="1"/>
  <c r="AD106" i="32" s="1"/>
  <c r="AE106" i="32" s="1"/>
  <c r="AF106" i="32" s="1"/>
  <c r="AG106" i="32" s="1"/>
  <c r="AH106" i="32" s="1"/>
  <c r="AI106" i="32" s="1"/>
  <c r="AJ106" i="32" s="1"/>
  <c r="AK106" i="32" s="1"/>
  <c r="AL106" i="32" s="1"/>
  <c r="AM106" i="32" s="1"/>
  <c r="AN106" i="32" s="1"/>
  <c r="AO106" i="32" s="1"/>
  <c r="AP106" i="32" s="1"/>
  <c r="P116" i="32"/>
  <c r="Q116" i="32" s="1"/>
  <c r="R116" i="32" s="1"/>
  <c r="S116" i="32" s="1"/>
  <c r="T116" i="32" s="1"/>
  <c r="U116" i="32" s="1"/>
  <c r="V116" i="32" s="1"/>
  <c r="W116" i="32" s="1"/>
  <c r="X116" i="32" s="1"/>
  <c r="Y116" i="32" s="1"/>
  <c r="Z116" i="32" s="1"/>
  <c r="AA116" i="32" s="1"/>
  <c r="AB116" i="32" s="1"/>
  <c r="AC116" i="32" s="1"/>
  <c r="AD116" i="32" s="1"/>
  <c r="AE116" i="32" s="1"/>
  <c r="AF116" i="32" s="1"/>
  <c r="AG116" i="32" s="1"/>
  <c r="AH116" i="32" s="1"/>
  <c r="AI116" i="32" s="1"/>
  <c r="AJ116" i="32" s="1"/>
  <c r="AK116" i="32" s="1"/>
  <c r="AL116" i="32" s="1"/>
  <c r="AM116" i="32" s="1"/>
  <c r="AN116" i="32" s="1"/>
  <c r="AO116" i="32" s="1"/>
  <c r="AP116" i="32" s="1"/>
  <c r="J133" i="32"/>
  <c r="P130" i="32"/>
  <c r="Q130" i="32" s="1"/>
  <c r="R130" i="32" s="1"/>
  <c r="S130" i="32" s="1"/>
  <c r="T130" i="32" s="1"/>
  <c r="U130" i="32" s="1"/>
  <c r="V130" i="32" s="1"/>
  <c r="W130" i="32" s="1"/>
  <c r="X130" i="32" s="1"/>
  <c r="Y130" i="32" s="1"/>
  <c r="Z130" i="32" s="1"/>
  <c r="AA130" i="32" s="1"/>
  <c r="AB130" i="32" s="1"/>
  <c r="AC130" i="32" s="1"/>
  <c r="AD130" i="32" s="1"/>
  <c r="AE130" i="32" s="1"/>
  <c r="AF130" i="32" s="1"/>
  <c r="AG130" i="32" s="1"/>
  <c r="AH130" i="32" s="1"/>
  <c r="AI130" i="32" s="1"/>
  <c r="AJ130" i="32" s="1"/>
  <c r="AK130" i="32" s="1"/>
  <c r="AL130" i="32" s="1"/>
  <c r="AM130" i="32" s="1"/>
  <c r="AN130" i="32" s="1"/>
  <c r="AO130" i="32" s="1"/>
  <c r="AP130" i="32" s="1"/>
  <c r="P136" i="32"/>
  <c r="P115" i="32"/>
  <c r="Q115" i="32" s="1"/>
  <c r="R115" i="32" s="1"/>
  <c r="S115" i="32" s="1"/>
  <c r="T115" i="32" s="1"/>
  <c r="U115" i="32" s="1"/>
  <c r="V115" i="32" s="1"/>
  <c r="W115" i="32" s="1"/>
  <c r="X115" i="32" s="1"/>
  <c r="Y115" i="32" s="1"/>
  <c r="Z115" i="32" s="1"/>
  <c r="AA115" i="32" s="1"/>
  <c r="AB115" i="32" s="1"/>
  <c r="AC115" i="32" s="1"/>
  <c r="AD115" i="32" s="1"/>
  <c r="AE115" i="32" s="1"/>
  <c r="AF115" i="32" s="1"/>
  <c r="AG115" i="32" s="1"/>
  <c r="AH115" i="32" s="1"/>
  <c r="AI115" i="32" s="1"/>
  <c r="AJ115" i="32" s="1"/>
  <c r="AK115" i="32" s="1"/>
  <c r="AL115" i="32" s="1"/>
  <c r="AM115" i="32" s="1"/>
  <c r="AN115" i="32" s="1"/>
  <c r="AO115" i="32" s="1"/>
  <c r="AP115" i="32" s="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J126" i="32"/>
  <c r="J117" i="32"/>
  <c r="N117" i="32" s="1"/>
  <c r="J106" i="32"/>
  <c r="M106" i="32" s="1"/>
  <c r="P133" i="32"/>
  <c r="J134" i="32"/>
  <c r="O104" i="32"/>
  <c r="O135" i="32"/>
  <c r="O131" i="32"/>
  <c r="O129" i="32"/>
  <c r="L133" i="32" l="1"/>
  <c r="Q133" i="32"/>
  <c r="Q128" i="32"/>
  <c r="J85" i="32"/>
  <c r="J91" i="32" s="1"/>
  <c r="Q136" i="32"/>
  <c r="R126" i="32"/>
  <c r="K133" i="32"/>
  <c r="L116" i="32"/>
  <c r="N116" i="32"/>
  <c r="K116" i="32"/>
  <c r="N133" i="32"/>
  <c r="M133" i="32"/>
  <c r="J104" i="32"/>
  <c r="N104" i="32" s="1"/>
  <c r="K134" i="32"/>
  <c r="M134" i="32"/>
  <c r="K106" i="32"/>
  <c r="L106" i="32"/>
  <c r="M117" i="32"/>
  <c r="K117" i="32"/>
  <c r="J84" i="32"/>
  <c r="J90" i="32" s="1"/>
  <c r="N127" i="32"/>
  <c r="K127" i="32"/>
  <c r="M127" i="32"/>
  <c r="L127" i="32"/>
  <c r="P129" i="32"/>
  <c r="P131" i="32"/>
  <c r="Q131" i="32" s="1"/>
  <c r="R131" i="32" s="1"/>
  <c r="S131" i="32" s="1"/>
  <c r="T131" i="32" s="1"/>
  <c r="U131" i="32" s="1"/>
  <c r="V131" i="32" s="1"/>
  <c r="W131" i="32" s="1"/>
  <c r="X131" i="32" s="1"/>
  <c r="Y131" i="32" s="1"/>
  <c r="Z131" i="32" s="1"/>
  <c r="AA131" i="32" s="1"/>
  <c r="AB131" i="32" s="1"/>
  <c r="AC131" i="32" s="1"/>
  <c r="AD131" i="32" s="1"/>
  <c r="AE131" i="32" s="1"/>
  <c r="AF131" i="32" s="1"/>
  <c r="AG131" i="32" s="1"/>
  <c r="AH131" i="32" s="1"/>
  <c r="AI131" i="32" s="1"/>
  <c r="AJ131" i="32" s="1"/>
  <c r="AK131" i="32" s="1"/>
  <c r="AL131" i="32" s="1"/>
  <c r="AM131" i="32" s="1"/>
  <c r="AN131" i="32" s="1"/>
  <c r="AO131" i="32" s="1"/>
  <c r="AP131" i="32" s="1"/>
  <c r="P135" i="32"/>
  <c r="P104" i="32"/>
  <c r="Q104" i="32" s="1"/>
  <c r="R104" i="32" s="1"/>
  <c r="S104" i="32" s="1"/>
  <c r="T104" i="32" s="1"/>
  <c r="U104" i="32" s="1"/>
  <c r="V104" i="32" s="1"/>
  <c r="W104" i="32" s="1"/>
  <c r="X104" i="32" s="1"/>
  <c r="Y104" i="32" s="1"/>
  <c r="Z104" i="32" s="1"/>
  <c r="AA104" i="32" s="1"/>
  <c r="AB104" i="32" s="1"/>
  <c r="AC104" i="32" s="1"/>
  <c r="AD104" i="32" s="1"/>
  <c r="AE104" i="32" s="1"/>
  <c r="AF104" i="32" s="1"/>
  <c r="AG104" i="32" s="1"/>
  <c r="AH104" i="32" s="1"/>
  <c r="AI104" i="32" s="1"/>
  <c r="AJ104" i="32" s="1"/>
  <c r="AK104" i="32" s="1"/>
  <c r="AL104" i="32" s="1"/>
  <c r="AM104" i="32" s="1"/>
  <c r="AN104" i="32" s="1"/>
  <c r="AO104" i="32" s="1"/>
  <c r="AP104" i="32" s="1"/>
  <c r="L126" i="32"/>
  <c r="K126" i="32"/>
  <c r="N126" i="32"/>
  <c r="M126" i="32"/>
  <c r="N134" i="32"/>
  <c r="L134" i="32"/>
  <c r="N106" i="32"/>
  <c r="L117" i="32"/>
  <c r="N105" i="32"/>
  <c r="K105" i="32"/>
  <c r="L105" i="32"/>
  <c r="M105" i="32"/>
  <c r="S126" i="32" l="1"/>
  <c r="R136" i="32"/>
  <c r="Q135" i="32"/>
  <c r="M85" i="32"/>
  <c r="M91" i="32" s="1"/>
  <c r="K85" i="32"/>
  <c r="K91" i="32" s="1"/>
  <c r="R128" i="32"/>
  <c r="L84" i="32"/>
  <c r="L90" i="32" s="1"/>
  <c r="K84" i="32"/>
  <c r="K90" i="32" s="1"/>
  <c r="L85" i="32"/>
  <c r="L91" i="32" s="1"/>
  <c r="R133" i="32"/>
  <c r="M84" i="32"/>
  <c r="M90" i="32" s="1"/>
  <c r="Q129" i="32"/>
  <c r="M104" i="32"/>
  <c r="K104" i="32"/>
  <c r="L104" i="32"/>
  <c r="N85" i="32" l="1"/>
  <c r="O85" i="32" s="1"/>
  <c r="P85" i="32" s="1"/>
  <c r="P134" i="32" s="1"/>
  <c r="S128" i="32"/>
  <c r="R129" i="32"/>
  <c r="S133" i="32"/>
  <c r="N84" i="32"/>
  <c r="O84" i="32" s="1"/>
  <c r="P84" i="32" s="1"/>
  <c r="P90" i="32" s="1"/>
  <c r="S136" i="32"/>
  <c r="R135" i="32"/>
  <c r="T126" i="32"/>
  <c r="Q85" i="32" l="1"/>
  <c r="Q91" i="32" s="1"/>
  <c r="P91" i="32"/>
  <c r="O91" i="32"/>
  <c r="N91" i="32"/>
  <c r="P127" i="32"/>
  <c r="Q84" i="32"/>
  <c r="R84" i="32" s="1"/>
  <c r="S135" i="32"/>
  <c r="U126" i="32"/>
  <c r="T133" i="32"/>
  <c r="S129" i="32"/>
  <c r="O90" i="32"/>
  <c r="T136" i="32"/>
  <c r="N90" i="32"/>
  <c r="T128" i="32"/>
  <c r="Q127" i="32" l="1"/>
  <c r="Q90" i="32"/>
  <c r="R85" i="32"/>
  <c r="R134" i="32" s="1"/>
  <c r="Q134" i="32"/>
  <c r="V126" i="32"/>
  <c r="U136" i="32"/>
  <c r="T129" i="32"/>
  <c r="U133" i="32"/>
  <c r="U128" i="32"/>
  <c r="T135" i="32"/>
  <c r="S84" i="32"/>
  <c r="R127" i="32"/>
  <c r="R90" i="32"/>
  <c r="S85" i="32" l="1"/>
  <c r="T85" i="32" s="1"/>
  <c r="R91" i="32"/>
  <c r="V133" i="32"/>
  <c r="V136" i="32"/>
  <c r="U135" i="32"/>
  <c r="V128" i="32"/>
  <c r="U129" i="32"/>
  <c r="W126" i="32"/>
  <c r="T84" i="32"/>
  <c r="S127" i="32"/>
  <c r="S90" i="32"/>
  <c r="S134" i="32" l="1"/>
  <c r="S91" i="32"/>
  <c r="V129" i="32"/>
  <c r="W128" i="32"/>
  <c r="V135" i="32"/>
  <c r="W136" i="32"/>
  <c r="X126" i="32"/>
  <c r="W133" i="32"/>
  <c r="T127" i="32"/>
  <c r="U84" i="32"/>
  <c r="T90" i="32"/>
  <c r="U85" i="32"/>
  <c r="T134" i="32"/>
  <c r="T91" i="32"/>
  <c r="Y126" i="32" l="1"/>
  <c r="X128" i="32"/>
  <c r="X136" i="32"/>
  <c r="W135" i="32"/>
  <c r="X133" i="32"/>
  <c r="W129" i="32"/>
  <c r="U134" i="32"/>
  <c r="V85" i="32"/>
  <c r="U91" i="32"/>
  <c r="V84" i="32"/>
  <c r="U127" i="32"/>
  <c r="U90" i="32"/>
  <c r="Y133" i="32" l="1"/>
  <c r="X135" i="32"/>
  <c r="Y136" i="32"/>
  <c r="Y128" i="32"/>
  <c r="X129" i="32"/>
  <c r="Z126" i="32"/>
  <c r="V127" i="32"/>
  <c r="W84" i="32"/>
  <c r="V90" i="32"/>
  <c r="W85" i="32"/>
  <c r="V134" i="32"/>
  <c r="V91" i="32"/>
  <c r="Y129" i="32" l="1"/>
  <c r="Z128" i="32"/>
  <c r="Z136" i="32"/>
  <c r="Y135" i="32"/>
  <c r="AA126" i="32"/>
  <c r="Z133" i="32"/>
  <c r="X85" i="32"/>
  <c r="W134" i="32"/>
  <c r="W91" i="32"/>
  <c r="X84" i="32"/>
  <c r="W127" i="32"/>
  <c r="W90" i="32"/>
  <c r="AA133" i="32" l="1"/>
  <c r="AA136" i="32"/>
  <c r="AA128" i="32"/>
  <c r="AB126" i="32"/>
  <c r="Z135" i="32"/>
  <c r="Z129" i="32"/>
  <c r="Y84" i="32"/>
  <c r="X127" i="32"/>
  <c r="X90" i="32"/>
  <c r="Y85" i="32"/>
  <c r="X134" i="32"/>
  <c r="X91" i="32"/>
  <c r="AA129" i="32" l="1"/>
  <c r="AA135" i="32"/>
  <c r="AC126" i="32"/>
  <c r="AB128" i="32"/>
  <c r="AB136" i="32"/>
  <c r="AB133" i="32"/>
  <c r="Z85" i="32"/>
  <c r="Y134" i="32"/>
  <c r="Y91" i="32"/>
  <c r="Z84" i="32"/>
  <c r="Y127" i="32"/>
  <c r="Y90" i="32"/>
  <c r="AC128" i="32" l="1"/>
  <c r="AC136" i="32"/>
  <c r="AD126" i="32"/>
  <c r="AB135" i="32"/>
  <c r="AC133" i="32"/>
  <c r="AB129" i="32"/>
  <c r="Z127" i="32"/>
  <c r="AA84" i="32"/>
  <c r="Z90" i="32"/>
  <c r="AA85" i="32"/>
  <c r="Z134" i="32"/>
  <c r="Z91" i="32"/>
  <c r="AD136" i="32" l="1"/>
  <c r="AC135" i="32"/>
  <c r="AE126" i="32"/>
  <c r="AC129" i="32"/>
  <c r="AD133" i="32"/>
  <c r="AD128" i="32"/>
  <c r="AA134" i="32"/>
  <c r="AB85" i="32"/>
  <c r="AA91" i="32"/>
  <c r="AA127" i="32"/>
  <c r="AB84" i="32"/>
  <c r="AA90" i="32"/>
  <c r="AE133" i="32" l="1"/>
  <c r="AD129" i="32"/>
  <c r="AF126" i="32"/>
  <c r="AD135" i="32"/>
  <c r="AE128" i="32"/>
  <c r="AE136" i="32"/>
  <c r="AB134" i="32"/>
  <c r="AC85" i="32"/>
  <c r="AB91" i="32"/>
  <c r="AB127" i="32"/>
  <c r="AC84" i="32"/>
  <c r="AB90" i="32"/>
  <c r="AF128" i="32" l="1"/>
  <c r="AG126" i="32"/>
  <c r="AE129" i="32"/>
  <c r="AF136" i="32"/>
  <c r="AE135" i="32"/>
  <c r="AF133" i="32"/>
  <c r="AC134" i="32"/>
  <c r="AD85" i="32"/>
  <c r="AC91" i="32"/>
  <c r="AD84" i="32"/>
  <c r="AC127" i="32"/>
  <c r="AC90" i="32"/>
  <c r="AG136" i="32" l="1"/>
  <c r="AF135" i="32"/>
  <c r="AF129" i="32"/>
  <c r="AH126" i="32"/>
  <c r="AG133" i="32"/>
  <c r="AG128" i="32"/>
  <c r="J115" i="32"/>
  <c r="J132" i="32"/>
  <c r="AE84" i="32"/>
  <c r="AD127" i="32"/>
  <c r="AD90" i="32"/>
  <c r="AD134" i="32"/>
  <c r="AE85" i="32"/>
  <c r="AD91" i="32"/>
  <c r="AG135" i="32" l="1"/>
  <c r="AH133" i="32"/>
  <c r="AI126" i="32"/>
  <c r="AG129" i="32"/>
  <c r="AH128" i="32"/>
  <c r="AH136" i="32"/>
  <c r="J125" i="32"/>
  <c r="J135" i="32"/>
  <c r="J128" i="32"/>
  <c r="N132" i="32"/>
  <c r="K132" i="32"/>
  <c r="L132" i="32"/>
  <c r="M132" i="32"/>
  <c r="L115" i="32"/>
  <c r="M115" i="32"/>
  <c r="N115" i="32"/>
  <c r="K115" i="32"/>
  <c r="J136" i="32"/>
  <c r="J130" i="32"/>
  <c r="AE134" i="32"/>
  <c r="AF85" i="32"/>
  <c r="AE91" i="32"/>
  <c r="AE127" i="32"/>
  <c r="AF84" i="32"/>
  <c r="AE90" i="32"/>
  <c r="AH129" i="32" l="1"/>
  <c r="AJ126" i="32"/>
  <c r="AI136" i="32"/>
  <c r="AI128" i="32"/>
  <c r="AI133" i="32"/>
  <c r="AH135" i="32"/>
  <c r="AF134" i="32"/>
  <c r="AG85" i="32"/>
  <c r="AF91" i="32"/>
  <c r="N130" i="32"/>
  <c r="K130" i="32"/>
  <c r="L130" i="32"/>
  <c r="M130" i="32"/>
  <c r="N136" i="32"/>
  <c r="K136" i="32"/>
  <c r="L136" i="32"/>
  <c r="M136" i="32"/>
  <c r="N128" i="32"/>
  <c r="K128" i="32"/>
  <c r="L128" i="32"/>
  <c r="M128" i="32"/>
  <c r="L135" i="32"/>
  <c r="M135" i="32"/>
  <c r="N135" i="32"/>
  <c r="K135" i="32"/>
  <c r="L125" i="32"/>
  <c r="M125" i="32"/>
  <c r="N125" i="32"/>
  <c r="K125" i="32"/>
  <c r="AF127" i="32"/>
  <c r="AG84" i="32"/>
  <c r="AF90" i="32"/>
  <c r="AJ133" i="32" l="1"/>
  <c r="AJ128" i="32"/>
  <c r="AJ136" i="32"/>
  <c r="AI135" i="32"/>
  <c r="AK126" i="32"/>
  <c r="AI129" i="32"/>
  <c r="AG134" i="32"/>
  <c r="AH85" i="32"/>
  <c r="AG91" i="32"/>
  <c r="AH84" i="32"/>
  <c r="AG127" i="32"/>
  <c r="AG90" i="32"/>
  <c r="AJ129" i="32" l="1"/>
  <c r="AL126" i="32"/>
  <c r="AJ135" i="32"/>
  <c r="AK136" i="32"/>
  <c r="AK128" i="32"/>
  <c r="AK133" i="32"/>
  <c r="AI84" i="32"/>
  <c r="AH127" i="32"/>
  <c r="AH90" i="32"/>
  <c r="AI85" i="32"/>
  <c r="AH134" i="32"/>
  <c r="AH91" i="32"/>
  <c r="AL136" i="32" l="1"/>
  <c r="AL128" i="32"/>
  <c r="AK135" i="32"/>
  <c r="AM126" i="32"/>
  <c r="AL133" i="32"/>
  <c r="AK129" i="32"/>
  <c r="AJ84" i="32"/>
  <c r="AI127" i="32"/>
  <c r="AI90" i="32"/>
  <c r="AI134" i="32"/>
  <c r="AJ85" i="32"/>
  <c r="AI91" i="32"/>
  <c r="AL129" i="32" l="1"/>
  <c r="AM128" i="32"/>
  <c r="AM133" i="32"/>
  <c r="AL135" i="32"/>
  <c r="AN126" i="32"/>
  <c r="AM136" i="32"/>
  <c r="AK85" i="32"/>
  <c r="AJ134" i="32"/>
  <c r="AJ91" i="32"/>
  <c r="AJ127" i="32"/>
  <c r="AK84" i="32"/>
  <c r="AJ90" i="32"/>
  <c r="AO126" i="32" l="1"/>
  <c r="AN133" i="32"/>
  <c r="AN128" i="32"/>
  <c r="AN136" i="32"/>
  <c r="AM135" i="32"/>
  <c r="AM129" i="32"/>
  <c r="J131" i="32"/>
  <c r="AK127" i="32"/>
  <c r="AL84" i="32"/>
  <c r="AK90" i="32"/>
  <c r="AK134" i="32"/>
  <c r="AL85" i="32"/>
  <c r="AK91" i="32"/>
  <c r="J129" i="32"/>
  <c r="O100" i="32"/>
  <c r="O118" i="32"/>
  <c r="AN135" i="32" l="1"/>
  <c r="AN129" i="32"/>
  <c r="AO136" i="32"/>
  <c r="AO133" i="32"/>
  <c r="AO128" i="32"/>
  <c r="AP126" i="32"/>
  <c r="P100" i="32"/>
  <c r="Q100" i="32" s="1"/>
  <c r="R100" i="32" s="1"/>
  <c r="S100" i="32" s="1"/>
  <c r="T100" i="32" s="1"/>
  <c r="U100" i="32" s="1"/>
  <c r="V100" i="32" s="1"/>
  <c r="W100" i="32" s="1"/>
  <c r="X100" i="32" s="1"/>
  <c r="Y100" i="32" s="1"/>
  <c r="Z100" i="32" s="1"/>
  <c r="AA100" i="32" s="1"/>
  <c r="AB100" i="32" s="1"/>
  <c r="AC100" i="32" s="1"/>
  <c r="AD100" i="32" s="1"/>
  <c r="AE100" i="32" s="1"/>
  <c r="AF100" i="32" s="1"/>
  <c r="AG100" i="32" s="1"/>
  <c r="AH100" i="32" s="1"/>
  <c r="AI100" i="32" s="1"/>
  <c r="AJ100" i="32" s="1"/>
  <c r="AK100" i="32" s="1"/>
  <c r="AL100" i="32" s="1"/>
  <c r="AM100" i="32" s="1"/>
  <c r="AN100" i="32" s="1"/>
  <c r="AO100" i="32" s="1"/>
  <c r="AP100" i="32" s="1"/>
  <c r="AL127" i="32"/>
  <c r="AM84" i="32"/>
  <c r="AL90" i="32"/>
  <c r="L131" i="32"/>
  <c r="M131" i="32"/>
  <c r="N131" i="32"/>
  <c r="K131" i="32"/>
  <c r="L64" i="47"/>
  <c r="L129" i="32"/>
  <c r="M129" i="32"/>
  <c r="N129" i="32"/>
  <c r="K129" i="32"/>
  <c r="AM85" i="32"/>
  <c r="AL134" i="32"/>
  <c r="AL91" i="32"/>
  <c r="O107" i="32"/>
  <c r="O96" i="32"/>
  <c r="O102" i="32"/>
  <c r="O103" i="32"/>
  <c r="AP133" i="32" l="1"/>
  <c r="AP128" i="32"/>
  <c r="AP136" i="32"/>
  <c r="AO129" i="32"/>
  <c r="AO135" i="32"/>
  <c r="L71" i="47"/>
  <c r="P103" i="32"/>
  <c r="P102" i="32"/>
  <c r="L70" i="47"/>
  <c r="P96" i="32"/>
  <c r="J103" i="32"/>
  <c r="J107" i="32"/>
  <c r="G77" i="47" s="1"/>
  <c r="J118" i="32"/>
  <c r="P107" i="32"/>
  <c r="L77" i="47"/>
  <c r="AN85" i="32"/>
  <c r="AM134" i="32"/>
  <c r="AM91" i="32"/>
  <c r="AN84" i="32"/>
  <c r="AM127" i="32"/>
  <c r="AM90" i="32"/>
  <c r="O122" i="32"/>
  <c r="O97" i="32"/>
  <c r="J100" i="32"/>
  <c r="O114" i="32"/>
  <c r="O123" i="32"/>
  <c r="O110" i="32"/>
  <c r="O121" i="32"/>
  <c r="O113" i="32"/>
  <c r="O124" i="32"/>
  <c r="AP129" i="32" l="1"/>
  <c r="AP135" i="32"/>
  <c r="N100" i="32"/>
  <c r="L100" i="32"/>
  <c r="K100" i="32"/>
  <c r="M100" i="32"/>
  <c r="K107" i="32"/>
  <c r="H77" i="47" s="1"/>
  <c r="N107" i="32"/>
  <c r="K77" i="47" s="1"/>
  <c r="M107" i="32"/>
  <c r="J77" i="47" s="1"/>
  <c r="L107" i="32"/>
  <c r="I77" i="47" s="1"/>
  <c r="L65" i="47"/>
  <c r="P124" i="32"/>
  <c r="P110" i="32"/>
  <c r="P123" i="32"/>
  <c r="J102" i="32"/>
  <c r="G71" i="47" s="1"/>
  <c r="L74" i="47"/>
  <c r="P97" i="32"/>
  <c r="AO84" i="32"/>
  <c r="AN127" i="32"/>
  <c r="AN90" i="32"/>
  <c r="AO85" i="32"/>
  <c r="AN134" i="32"/>
  <c r="AN91" i="32"/>
  <c r="M77" i="47"/>
  <c r="Q107" i="32"/>
  <c r="M71" i="47"/>
  <c r="Q103" i="32"/>
  <c r="N103" i="32"/>
  <c r="L79" i="47"/>
  <c r="P113" i="32"/>
  <c r="P121" i="32"/>
  <c r="P114" i="32"/>
  <c r="P122" i="32"/>
  <c r="L118" i="32"/>
  <c r="G64" i="47"/>
  <c r="J83" i="32"/>
  <c r="J89" i="32" s="1"/>
  <c r="N118" i="32"/>
  <c r="K64" i="47" s="1"/>
  <c r="M118" i="32"/>
  <c r="K118" i="32"/>
  <c r="M70" i="47"/>
  <c r="Q96" i="32"/>
  <c r="Q102" i="32"/>
  <c r="K103" i="32"/>
  <c r="L103" i="32"/>
  <c r="M103" i="32"/>
  <c r="O120" i="32"/>
  <c r="L66" i="47" s="1"/>
  <c r="O112" i="32"/>
  <c r="L78" i="47" s="1"/>
  <c r="O111" i="32"/>
  <c r="O108" i="32"/>
  <c r="L75" i="47" s="1"/>
  <c r="O99" i="32"/>
  <c r="Q122" i="32" l="1"/>
  <c r="P99" i="32"/>
  <c r="J113" i="32"/>
  <c r="J96" i="32"/>
  <c r="J97" i="32"/>
  <c r="R102" i="32"/>
  <c r="N70" i="47"/>
  <c r="R96" i="32"/>
  <c r="K83" i="32"/>
  <c r="K89" i="32" s="1"/>
  <c r="H64" i="47"/>
  <c r="Q114" i="32"/>
  <c r="Q113" i="32"/>
  <c r="N77" i="47"/>
  <c r="R107" i="32"/>
  <c r="AP85" i="32"/>
  <c r="AO134" i="32"/>
  <c r="AO91" i="32"/>
  <c r="AO127" i="32"/>
  <c r="AP84" i="32"/>
  <c r="AO90" i="32"/>
  <c r="Q123" i="32"/>
  <c r="Q110" i="32"/>
  <c r="Q124" i="32"/>
  <c r="M65" i="47"/>
  <c r="L82" i="47"/>
  <c r="J114" i="32"/>
  <c r="J124" i="32"/>
  <c r="J121" i="32"/>
  <c r="P111" i="32"/>
  <c r="M79" i="47" s="1"/>
  <c r="L80" i="47"/>
  <c r="P112" i="32"/>
  <c r="M78" i="47" s="1"/>
  <c r="P120" i="32"/>
  <c r="M66" i="47" s="1"/>
  <c r="L62" i="47"/>
  <c r="J64" i="47"/>
  <c r="M83" i="32"/>
  <c r="L83" i="32"/>
  <c r="L89" i="32" s="1"/>
  <c r="I64" i="47"/>
  <c r="Q121" i="32"/>
  <c r="N71" i="47"/>
  <c r="R103" i="32"/>
  <c r="M74" i="47"/>
  <c r="Q97" i="32"/>
  <c r="L102" i="32"/>
  <c r="I71" i="47" s="1"/>
  <c r="M102" i="32"/>
  <c r="J71" i="47" s="1"/>
  <c r="N102" i="32"/>
  <c r="K102" i="32"/>
  <c r="H71" i="47" s="1"/>
  <c r="R122" i="32" l="1"/>
  <c r="K71" i="47"/>
  <c r="J108" i="32"/>
  <c r="J111" i="32"/>
  <c r="J122" i="32"/>
  <c r="J123" i="32"/>
  <c r="R97" i="32"/>
  <c r="N74" i="47"/>
  <c r="Q120" i="32"/>
  <c r="N66" i="47" s="1"/>
  <c r="Q111" i="32"/>
  <c r="R124" i="32"/>
  <c r="N65" i="47"/>
  <c r="R110" i="32"/>
  <c r="AP127" i="32"/>
  <c r="AP90" i="32"/>
  <c r="AP134" i="32"/>
  <c r="AP91" i="32"/>
  <c r="O70" i="47"/>
  <c r="S96" i="32"/>
  <c r="S102" i="32"/>
  <c r="G70" i="47"/>
  <c r="L96" i="32"/>
  <c r="I70" i="47" s="1"/>
  <c r="M96" i="32"/>
  <c r="J70" i="47" s="1"/>
  <c r="K96" i="32"/>
  <c r="H70" i="47" s="1"/>
  <c r="N96" i="32"/>
  <c r="K70" i="47" s="1"/>
  <c r="G79" i="47"/>
  <c r="K113" i="32"/>
  <c r="N113" i="32"/>
  <c r="M113" i="32"/>
  <c r="L113" i="32"/>
  <c r="O71" i="47"/>
  <c r="S103" i="32"/>
  <c r="R121" i="32"/>
  <c r="N83" i="32"/>
  <c r="O83" i="32" s="1"/>
  <c r="P83" i="32" s="1"/>
  <c r="M89" i="32"/>
  <c r="M80" i="47"/>
  <c r="Q112" i="32"/>
  <c r="N78" i="47" s="1"/>
  <c r="N121" i="32"/>
  <c r="K121" i="32"/>
  <c r="M121" i="32"/>
  <c r="L121" i="32"/>
  <c r="G65" i="47"/>
  <c r="K124" i="32"/>
  <c r="H65" i="47" s="1"/>
  <c r="N124" i="32"/>
  <c r="K65" i="47" s="1"/>
  <c r="L124" i="32"/>
  <c r="I65" i="47" s="1"/>
  <c r="M124" i="32"/>
  <c r="J65" i="47" s="1"/>
  <c r="K114" i="32"/>
  <c r="N114" i="32"/>
  <c r="L114" i="32"/>
  <c r="M114" i="32"/>
  <c r="R123" i="32"/>
  <c r="O77" i="47"/>
  <c r="S107" i="32"/>
  <c r="N79" i="47"/>
  <c r="R113" i="32"/>
  <c r="R114" i="32"/>
  <c r="G74" i="47"/>
  <c r="L97" i="32"/>
  <c r="I74" i="47" s="1"/>
  <c r="M97" i="32"/>
  <c r="J74" i="47" s="1"/>
  <c r="K97" i="32"/>
  <c r="H74" i="47" s="1"/>
  <c r="N97" i="32"/>
  <c r="K74" i="47" s="1"/>
  <c r="Q99" i="32"/>
  <c r="O101" i="32"/>
  <c r="L72" i="47" s="1"/>
  <c r="O98" i="32"/>
  <c r="L68" i="47" s="1"/>
  <c r="O109" i="32"/>
  <c r="L81" i="47" s="1"/>
  <c r="O119" i="32"/>
  <c r="L67" i="47" s="1"/>
  <c r="K79" i="47" l="1"/>
  <c r="S122" i="32"/>
  <c r="O89" i="32"/>
  <c r="P119" i="32"/>
  <c r="M67" i="47" s="1"/>
  <c r="L63" i="47"/>
  <c r="J110" i="32"/>
  <c r="J112" i="32"/>
  <c r="G78" i="47" s="1"/>
  <c r="L69" i="47"/>
  <c r="O74" i="32"/>
  <c r="P98" i="32"/>
  <c r="M68" i="47" s="1"/>
  <c r="P101" i="32"/>
  <c r="M72" i="47" s="1"/>
  <c r="L73" i="47"/>
  <c r="S123" i="32"/>
  <c r="R112" i="32"/>
  <c r="O78" i="47" s="1"/>
  <c r="N80" i="47"/>
  <c r="N89" i="32"/>
  <c r="S121" i="32"/>
  <c r="T103" i="32"/>
  <c r="P71" i="47"/>
  <c r="T102" i="32"/>
  <c r="T96" i="32"/>
  <c r="P70" i="47"/>
  <c r="K123" i="32"/>
  <c r="N123" i="32"/>
  <c r="M123" i="32"/>
  <c r="L123" i="32"/>
  <c r="L122" i="32"/>
  <c r="M122" i="32"/>
  <c r="N122" i="32"/>
  <c r="K122" i="32"/>
  <c r="M111" i="32"/>
  <c r="J79" i="47" s="1"/>
  <c r="N111" i="32"/>
  <c r="K111" i="32"/>
  <c r="L111" i="32"/>
  <c r="I79" i="47" s="1"/>
  <c r="N108" i="32"/>
  <c r="K82" i="47" s="1"/>
  <c r="J82" i="32"/>
  <c r="J88" i="32" s="1"/>
  <c r="G82" i="47"/>
  <c r="K108" i="32"/>
  <c r="M108" i="32"/>
  <c r="L108" i="32"/>
  <c r="L76" i="47"/>
  <c r="P109" i="32"/>
  <c r="M81" i="47" s="1"/>
  <c r="J120" i="32"/>
  <c r="G66" i="47" s="1"/>
  <c r="R99" i="32"/>
  <c r="S114" i="32"/>
  <c r="S113" i="32"/>
  <c r="O79" i="47"/>
  <c r="T107" i="32"/>
  <c r="P77" i="47"/>
  <c r="P89" i="32"/>
  <c r="P118" i="32"/>
  <c r="M62" i="47" s="1"/>
  <c r="Q83" i="32"/>
  <c r="S110" i="32"/>
  <c r="S124" i="32"/>
  <c r="O65" i="47"/>
  <c r="R111" i="32"/>
  <c r="R120" i="32"/>
  <c r="O66" i="47" s="1"/>
  <c r="O74" i="47"/>
  <c r="S97" i="32"/>
  <c r="T122" i="32" l="1"/>
  <c r="H79" i="47"/>
  <c r="M64" i="47"/>
  <c r="J119" i="32"/>
  <c r="G67" i="47" s="1"/>
  <c r="J99" i="32"/>
  <c r="T97" i="32"/>
  <c r="P74" i="47"/>
  <c r="S111" i="32"/>
  <c r="P79" i="47" s="1"/>
  <c r="S99" i="32"/>
  <c r="M82" i="32"/>
  <c r="J82" i="47"/>
  <c r="T121" i="32"/>
  <c r="O80" i="47"/>
  <c r="S112" i="32"/>
  <c r="M69" i="47"/>
  <c r="Q98" i="32"/>
  <c r="N68" i="47" s="1"/>
  <c r="G80" i="47"/>
  <c r="N112" i="32"/>
  <c r="K112" i="32"/>
  <c r="L112" i="32"/>
  <c r="M112" i="32"/>
  <c r="G75" i="47"/>
  <c r="K110" i="32"/>
  <c r="H75" i="47" s="1"/>
  <c r="N110" i="32"/>
  <c r="K75" i="47" s="1"/>
  <c r="M110" i="32"/>
  <c r="J75" i="47" s="1"/>
  <c r="L110" i="32"/>
  <c r="I75" i="47" s="1"/>
  <c r="J109" i="32"/>
  <c r="G81" i="47" s="1"/>
  <c r="S120" i="32"/>
  <c r="P66" i="47" s="1"/>
  <c r="T124" i="32"/>
  <c r="P65" i="47"/>
  <c r="T110" i="32"/>
  <c r="R83" i="32"/>
  <c r="Q118" i="32"/>
  <c r="Q89" i="32"/>
  <c r="Q77" i="47"/>
  <c r="U107" i="32"/>
  <c r="T113" i="32"/>
  <c r="P78" i="47"/>
  <c r="T114" i="32"/>
  <c r="G62" i="47"/>
  <c r="N120" i="32"/>
  <c r="K62" i="47" s="1"/>
  <c r="K120" i="32"/>
  <c r="H62" i="47" s="1"/>
  <c r="L120" i="32"/>
  <c r="I62" i="47" s="1"/>
  <c r="M120" i="32"/>
  <c r="J62" i="47" s="1"/>
  <c r="Q109" i="32"/>
  <c r="N81" i="47" s="1"/>
  <c r="M76" i="47"/>
  <c r="L82" i="32"/>
  <c r="L88" i="32" s="1"/>
  <c r="I82" i="47"/>
  <c r="K82" i="32"/>
  <c r="K88" i="32" s="1"/>
  <c r="H82" i="47"/>
  <c r="Q70" i="47"/>
  <c r="U96" i="32"/>
  <c r="U102" i="32"/>
  <c r="Q71" i="47"/>
  <c r="U103" i="32"/>
  <c r="T123" i="32"/>
  <c r="M73" i="47"/>
  <c r="Q101" i="32"/>
  <c r="N72" i="47" s="1"/>
  <c r="M63" i="47"/>
  <c r="Q119" i="32"/>
  <c r="N67" i="47" s="1"/>
  <c r="J80" i="47" l="1"/>
  <c r="J78" i="47"/>
  <c r="I80" i="47"/>
  <c r="I78" i="47"/>
  <c r="N64" i="47"/>
  <c r="N62" i="47"/>
  <c r="H80" i="47"/>
  <c r="H78" i="47"/>
  <c r="U122" i="32"/>
  <c r="K80" i="47"/>
  <c r="K78" i="47"/>
  <c r="H66" i="47"/>
  <c r="K66" i="47"/>
  <c r="J66" i="47"/>
  <c r="I66" i="47"/>
  <c r="J98" i="32"/>
  <c r="U123" i="32"/>
  <c r="G76" i="47"/>
  <c r="L109" i="32"/>
  <c r="M109" i="32"/>
  <c r="N109" i="32"/>
  <c r="K109" i="32"/>
  <c r="T112" i="32"/>
  <c r="Q78" i="47" s="1"/>
  <c r="P80" i="47"/>
  <c r="T111" i="32"/>
  <c r="G68" i="47"/>
  <c r="L99" i="32"/>
  <c r="K99" i="32"/>
  <c r="N99" i="32"/>
  <c r="M99" i="32"/>
  <c r="G63" i="47"/>
  <c r="K119" i="32"/>
  <c r="N119" i="32"/>
  <c r="L119" i="32"/>
  <c r="M119" i="32"/>
  <c r="J101" i="32"/>
  <c r="G72" i="47" s="1"/>
  <c r="R119" i="32"/>
  <c r="O67" i="47" s="1"/>
  <c r="N63" i="47"/>
  <c r="R101" i="32"/>
  <c r="O72" i="47" s="1"/>
  <c r="N73" i="47"/>
  <c r="V103" i="32"/>
  <c r="R71" i="47"/>
  <c r="V102" i="32"/>
  <c r="V96" i="32"/>
  <c r="R70" i="47"/>
  <c r="R109" i="32"/>
  <c r="O81" i="47" s="1"/>
  <c r="N76" i="47"/>
  <c r="U114" i="32"/>
  <c r="U113" i="32"/>
  <c r="Q79" i="47"/>
  <c r="V107" i="32"/>
  <c r="R77" i="47"/>
  <c r="R118" i="32"/>
  <c r="S83" i="32"/>
  <c r="R89" i="32"/>
  <c r="U110" i="32"/>
  <c r="Q65" i="47"/>
  <c r="U124" i="32"/>
  <c r="T120" i="32"/>
  <c r="Q66" i="47" s="1"/>
  <c r="R98" i="32"/>
  <c r="O68" i="47" s="1"/>
  <c r="N69" i="47"/>
  <c r="U121" i="32"/>
  <c r="M88" i="32"/>
  <c r="N82" i="32"/>
  <c r="O82" i="32" s="1"/>
  <c r="P82" i="32" s="1"/>
  <c r="T99" i="32"/>
  <c r="Q74" i="47"/>
  <c r="U97" i="32"/>
  <c r="H63" i="47" l="1"/>
  <c r="H67" i="47"/>
  <c r="K76" i="47"/>
  <c r="K81" i="47"/>
  <c r="O64" i="47"/>
  <c r="O62" i="47"/>
  <c r="J76" i="47"/>
  <c r="J81" i="47"/>
  <c r="I76" i="47"/>
  <c r="I81" i="47"/>
  <c r="V122" i="32"/>
  <c r="K63" i="47"/>
  <c r="K67" i="47"/>
  <c r="H76" i="47"/>
  <c r="H81" i="47"/>
  <c r="J63" i="47"/>
  <c r="J67" i="47"/>
  <c r="I63" i="47"/>
  <c r="I67" i="47"/>
  <c r="O88" i="32"/>
  <c r="U99" i="32"/>
  <c r="N88" i="32"/>
  <c r="V121" i="32"/>
  <c r="S98" i="32"/>
  <c r="P68" i="47" s="1"/>
  <c r="O69" i="47"/>
  <c r="R65" i="47"/>
  <c r="V124" i="32"/>
  <c r="S77" i="47"/>
  <c r="W107" i="32"/>
  <c r="V113" i="32"/>
  <c r="V114" i="32"/>
  <c r="O76" i="47"/>
  <c r="S109" i="32"/>
  <c r="P81" i="47" s="1"/>
  <c r="G73" i="47"/>
  <c r="L101" i="32"/>
  <c r="M101" i="32"/>
  <c r="K101" i="32"/>
  <c r="N101" i="32"/>
  <c r="U112" i="32"/>
  <c r="R78" i="47" s="1"/>
  <c r="Q80" i="47"/>
  <c r="V123" i="32"/>
  <c r="J74" i="32"/>
  <c r="J77" i="32" s="1"/>
  <c r="J81" i="32"/>
  <c r="J87" i="32" s="1"/>
  <c r="G69" i="47"/>
  <c r="L98" i="32"/>
  <c r="I68" i="47" s="1"/>
  <c r="M98" i="32"/>
  <c r="J68" i="47" s="1"/>
  <c r="N98" i="32"/>
  <c r="K68" i="47" s="1"/>
  <c r="K98" i="32"/>
  <c r="H68" i="47" s="1"/>
  <c r="V97" i="32"/>
  <c r="R74" i="47"/>
  <c r="P88" i="32"/>
  <c r="P108" i="32"/>
  <c r="M75" i="47" s="1"/>
  <c r="Q82" i="32"/>
  <c r="U120" i="32"/>
  <c r="R66" i="47" s="1"/>
  <c r="V110" i="32"/>
  <c r="S118" i="32"/>
  <c r="T83" i="32"/>
  <c r="S89" i="32"/>
  <c r="S70" i="47"/>
  <c r="W96" i="32"/>
  <c r="W102" i="32"/>
  <c r="S71" i="47"/>
  <c r="W103" i="32"/>
  <c r="O73" i="47"/>
  <c r="S101" i="32"/>
  <c r="P72" i="47" s="1"/>
  <c r="O63" i="47"/>
  <c r="S119" i="32"/>
  <c r="P67" i="47" s="1"/>
  <c r="U111" i="32"/>
  <c r="R79" i="47" s="1"/>
  <c r="K73" i="47" l="1"/>
  <c r="K72" i="47"/>
  <c r="J73" i="47"/>
  <c r="J72" i="47"/>
  <c r="I73" i="47"/>
  <c r="I72" i="47"/>
  <c r="W122" i="32"/>
  <c r="P64" i="47"/>
  <c r="P62" i="47"/>
  <c r="H73" i="47"/>
  <c r="H72" i="47"/>
  <c r="T119" i="32"/>
  <c r="Q67" i="47" s="1"/>
  <c r="P63" i="47"/>
  <c r="T101" i="32"/>
  <c r="Q72" i="47" s="1"/>
  <c r="P73" i="47"/>
  <c r="T71" i="47"/>
  <c r="X103" i="32"/>
  <c r="X102" i="32"/>
  <c r="T70" i="47"/>
  <c r="X96" i="32"/>
  <c r="W110" i="32"/>
  <c r="V120" i="32"/>
  <c r="M82" i="47"/>
  <c r="P74" i="32"/>
  <c r="K74" i="32"/>
  <c r="K77" i="32" s="1"/>
  <c r="K81" i="32"/>
  <c r="K87" i="32" s="1"/>
  <c r="H69" i="47"/>
  <c r="M81" i="32"/>
  <c r="J69" i="47"/>
  <c r="M74" i="32"/>
  <c r="W123" i="32"/>
  <c r="S66" i="47"/>
  <c r="V112" i="32"/>
  <c r="S78" i="47" s="1"/>
  <c r="R80" i="47"/>
  <c r="T109" i="32"/>
  <c r="Q81" i="47" s="1"/>
  <c r="P76" i="47"/>
  <c r="W114" i="32"/>
  <c r="W113" i="32"/>
  <c r="T77" i="47"/>
  <c r="X107" i="32"/>
  <c r="W124" i="32"/>
  <c r="S65" i="47"/>
  <c r="T98" i="32"/>
  <c r="Q68" i="47" s="1"/>
  <c r="P69" i="47"/>
  <c r="W121" i="32"/>
  <c r="V111" i="32"/>
  <c r="S79" i="47" s="1"/>
  <c r="T118" i="32"/>
  <c r="U83" i="32"/>
  <c r="T89" i="32"/>
  <c r="Q108" i="32"/>
  <c r="N75" i="47" s="1"/>
  <c r="R82" i="32"/>
  <c r="Q88" i="32"/>
  <c r="W97" i="32"/>
  <c r="S74" i="47"/>
  <c r="K69" i="47"/>
  <c r="N74" i="32"/>
  <c r="L81" i="32"/>
  <c r="L87" i="32" s="1"/>
  <c r="L74" i="32"/>
  <c r="L77" i="32" s="1"/>
  <c r="I69" i="47"/>
  <c r="V99" i="32"/>
  <c r="X122" i="32" l="1"/>
  <c r="Q64" i="47"/>
  <c r="Q62" i="47"/>
  <c r="T74" i="47"/>
  <c r="X97" i="32"/>
  <c r="N82" i="47"/>
  <c r="Q74" i="32"/>
  <c r="Q77" i="32" s="1"/>
  <c r="U118" i="32"/>
  <c r="V83" i="32"/>
  <c r="U89" i="32"/>
  <c r="U98" i="32"/>
  <c r="R68" i="47" s="1"/>
  <c r="Q69" i="47"/>
  <c r="T65" i="47"/>
  <c r="X124" i="32"/>
  <c r="Q76" i="47"/>
  <c r="U109" i="32"/>
  <c r="R81" i="47" s="1"/>
  <c r="O77" i="32"/>
  <c r="N77" i="32"/>
  <c r="M77" i="32"/>
  <c r="P77" i="32"/>
  <c r="N81" i="32"/>
  <c r="O81" i="32" s="1"/>
  <c r="P81" i="32" s="1"/>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AP87" i="32" s="1"/>
  <c r="M87" i="32"/>
  <c r="U70" i="47"/>
  <c r="Y96" i="32"/>
  <c r="Y102" i="32"/>
  <c r="U71" i="47"/>
  <c r="Y103" i="32"/>
  <c r="W99" i="32"/>
  <c r="S82" i="32"/>
  <c r="R108" i="32"/>
  <c r="O75" i="47" s="1"/>
  <c r="R88" i="32"/>
  <c r="W111" i="32"/>
  <c r="T79" i="47" s="1"/>
  <c r="X121" i="32"/>
  <c r="U77" i="47"/>
  <c r="Y107" i="32"/>
  <c r="X113" i="32"/>
  <c r="X114" i="32"/>
  <c r="S80" i="47"/>
  <c r="W112" i="32"/>
  <c r="T78" i="47" s="1"/>
  <c r="X123" i="32"/>
  <c r="W120" i="32"/>
  <c r="T66" i="47" s="1"/>
  <c r="X110" i="32"/>
  <c r="U101" i="32"/>
  <c r="R72" i="47" s="1"/>
  <c r="Q73" i="47"/>
  <c r="U119" i="32"/>
  <c r="R67" i="47" s="1"/>
  <c r="Q63" i="47"/>
  <c r="R64" i="47" l="1"/>
  <c r="R62" i="47"/>
  <c r="Y122" i="32"/>
  <c r="Q87" i="32"/>
  <c r="R87" i="32"/>
  <c r="U87" i="32"/>
  <c r="V87" i="32"/>
  <c r="W87" i="32"/>
  <c r="T87" i="32"/>
  <c r="O87" i="32"/>
  <c r="P87" i="32"/>
  <c r="Y87" i="32"/>
  <c r="X87" i="32"/>
  <c r="S87" i="32"/>
  <c r="N87" i="32"/>
  <c r="AG87" i="32"/>
  <c r="Z87" i="32"/>
  <c r="AI87" i="32"/>
  <c r="AC87" i="32"/>
  <c r="AF87" i="32"/>
  <c r="AA87" i="32"/>
  <c r="AO87" i="32"/>
  <c r="AN87" i="32"/>
  <c r="AE87" i="32"/>
  <c r="AJ87" i="32"/>
  <c r="AH87" i="32"/>
  <c r="AK87" i="32"/>
  <c r="AD87" i="32"/>
  <c r="AM87" i="32"/>
  <c r="AB87" i="32"/>
  <c r="AL87" i="32"/>
  <c r="Y123" i="32"/>
  <c r="X112" i="32"/>
  <c r="U78" i="47" s="1"/>
  <c r="T80" i="47"/>
  <c r="Y113" i="32"/>
  <c r="X111" i="32"/>
  <c r="U79" i="47" s="1"/>
  <c r="S108" i="32"/>
  <c r="P75" i="47" s="1"/>
  <c r="T82" i="32"/>
  <c r="S88" i="32"/>
  <c r="U74" i="47"/>
  <c r="Y97" i="32"/>
  <c r="R63" i="47"/>
  <c r="V119" i="32"/>
  <c r="S67" i="47" s="1"/>
  <c r="R73" i="47"/>
  <c r="V101" i="32"/>
  <c r="S72" i="47" s="1"/>
  <c r="Y110" i="32"/>
  <c r="X120" i="32"/>
  <c r="U66" i="47" s="1"/>
  <c r="Y114" i="32"/>
  <c r="V77" i="47"/>
  <c r="Z107" i="32"/>
  <c r="Y121" i="32"/>
  <c r="O82" i="47"/>
  <c r="R74" i="32"/>
  <c r="R77" i="32" s="1"/>
  <c r="X99" i="32"/>
  <c r="V71" i="47"/>
  <c r="Z103" i="32"/>
  <c r="Z102" i="32"/>
  <c r="V70" i="47"/>
  <c r="Z96" i="32"/>
  <c r="V109" i="32"/>
  <c r="S81" i="47" s="1"/>
  <c r="R76" i="47"/>
  <c r="Y124" i="32"/>
  <c r="U65" i="47"/>
  <c r="V98" i="32"/>
  <c r="S68" i="47" s="1"/>
  <c r="R69" i="47"/>
  <c r="W83" i="32"/>
  <c r="V118" i="32"/>
  <c r="V89" i="32"/>
  <c r="S64" i="47" l="1"/>
  <c r="S62" i="47"/>
  <c r="Z122" i="32"/>
  <c r="W98" i="32"/>
  <c r="T68" i="47" s="1"/>
  <c r="S69" i="47"/>
  <c r="V65" i="47"/>
  <c r="Z124" i="32"/>
  <c r="S76" i="47"/>
  <c r="W109" i="32"/>
  <c r="T81" i="47" s="1"/>
  <c r="Z121" i="32"/>
  <c r="AA107" i="32"/>
  <c r="W77" i="47"/>
  <c r="Z114" i="32"/>
  <c r="Y120" i="32"/>
  <c r="V66" i="47" s="1"/>
  <c r="Z110" i="32"/>
  <c r="U82" i="32"/>
  <c r="T108" i="32"/>
  <c r="Q75" i="47" s="1"/>
  <c r="T88" i="32"/>
  <c r="Z113" i="32"/>
  <c r="U80" i="47"/>
  <c r="Y112" i="32"/>
  <c r="V78" i="47" s="1"/>
  <c r="X83" i="32"/>
  <c r="W118" i="32"/>
  <c r="W89" i="32"/>
  <c r="W70" i="47"/>
  <c r="AA96" i="32"/>
  <c r="AA102" i="32"/>
  <c r="W71" i="47"/>
  <c r="AA103" i="32"/>
  <c r="Y99" i="32"/>
  <c r="S73" i="47"/>
  <c r="W101" i="32"/>
  <c r="T72" i="47" s="1"/>
  <c r="S63" i="47"/>
  <c r="W119" i="32"/>
  <c r="T67" i="47" s="1"/>
  <c r="V74" i="47"/>
  <c r="Z97" i="32"/>
  <c r="P82" i="47"/>
  <c r="S74" i="32"/>
  <c r="S77" i="32" s="1"/>
  <c r="Y111" i="32"/>
  <c r="V79" i="47" s="1"/>
  <c r="Z123" i="32"/>
  <c r="T64" i="47" l="1"/>
  <c r="T62" i="47"/>
  <c r="AA122" i="32"/>
  <c r="AA123" i="32"/>
  <c r="W74" i="47"/>
  <c r="AA97" i="32"/>
  <c r="X119" i="32"/>
  <c r="U67" i="47" s="1"/>
  <c r="T63" i="47"/>
  <c r="T73" i="47"/>
  <c r="X101" i="32"/>
  <c r="U72" i="47" s="1"/>
  <c r="Z99" i="32"/>
  <c r="X71" i="47"/>
  <c r="AB103" i="32"/>
  <c r="AB102" i="32"/>
  <c r="X70" i="47"/>
  <c r="AB96" i="32"/>
  <c r="Y83" i="32"/>
  <c r="X118" i="32"/>
  <c r="U62" i="47" s="1"/>
  <c r="X89" i="32"/>
  <c r="U108" i="32"/>
  <c r="R75" i="47" s="1"/>
  <c r="V82" i="32"/>
  <c r="U88" i="32"/>
  <c r="AA110" i="32"/>
  <c r="Z120" i="32"/>
  <c r="W66" i="47" s="1"/>
  <c r="AB107" i="32"/>
  <c r="X77" i="47"/>
  <c r="AA121" i="32"/>
  <c r="Z111" i="32"/>
  <c r="W79" i="47" s="1"/>
  <c r="V80" i="47"/>
  <c r="Z112" i="32"/>
  <c r="AA113" i="32"/>
  <c r="Q82" i="47"/>
  <c r="T74" i="32"/>
  <c r="T77" i="32" s="1"/>
  <c r="W78" i="47"/>
  <c r="AA114" i="32"/>
  <c r="X109" i="32"/>
  <c r="U81" i="47" s="1"/>
  <c r="T76" i="47"/>
  <c r="W65" i="47"/>
  <c r="AA124" i="32"/>
  <c r="X98" i="32"/>
  <c r="U68" i="47" s="1"/>
  <c r="T69" i="47"/>
  <c r="AB122" i="32" l="1"/>
  <c r="U64" i="47"/>
  <c r="U69" i="47"/>
  <c r="Y98" i="32"/>
  <c r="V68" i="47" s="1"/>
  <c r="Y109" i="32"/>
  <c r="V81" i="47" s="1"/>
  <c r="U76" i="47"/>
  <c r="AB113" i="32"/>
  <c r="R82" i="47"/>
  <c r="U74" i="32"/>
  <c r="U77" i="32" s="1"/>
  <c r="Y118" i="32"/>
  <c r="V62" i="47" s="1"/>
  <c r="Z83" i="32"/>
  <c r="Y89" i="32"/>
  <c r="U73" i="47"/>
  <c r="Y101" i="32"/>
  <c r="V72" i="47" s="1"/>
  <c r="AB97" i="32"/>
  <c r="X74" i="47"/>
  <c r="AB123" i="32"/>
  <c r="X65" i="47"/>
  <c r="AB124" i="32"/>
  <c r="AB114" i="32"/>
  <c r="W80" i="47"/>
  <c r="AA112" i="32"/>
  <c r="X78" i="47" s="1"/>
  <c r="AA111" i="32"/>
  <c r="X79" i="47" s="1"/>
  <c r="AB121" i="32"/>
  <c r="AC107" i="32"/>
  <c r="Y77" i="47"/>
  <c r="AA120" i="32"/>
  <c r="X66" i="47" s="1"/>
  <c r="AB110" i="32"/>
  <c r="V108" i="32"/>
  <c r="S75" i="47" s="1"/>
  <c r="W82" i="32"/>
  <c r="V88" i="32"/>
  <c r="AC96" i="32"/>
  <c r="Y70" i="47"/>
  <c r="AC102" i="32"/>
  <c r="AC103" i="32"/>
  <c r="Y71" i="47"/>
  <c r="AA99" i="32"/>
  <c r="U63" i="47"/>
  <c r="Y119" i="32"/>
  <c r="V67" i="47" s="1"/>
  <c r="AC122" i="32" l="1"/>
  <c r="V64" i="47"/>
  <c r="Z119" i="32"/>
  <c r="W67" i="47" s="1"/>
  <c r="V63" i="47"/>
  <c r="AB99" i="32"/>
  <c r="Z71" i="47"/>
  <c r="AD103" i="32"/>
  <c r="AD102" i="32"/>
  <c r="Z70" i="47"/>
  <c r="AD96" i="32"/>
  <c r="W108" i="32"/>
  <c r="T75" i="47" s="1"/>
  <c r="X82" i="32"/>
  <c r="W88" i="32"/>
  <c r="AC114" i="32"/>
  <c r="AC123" i="32"/>
  <c r="Y74" i="47"/>
  <c r="AC97" i="32"/>
  <c r="Z118" i="32"/>
  <c r="AA83" i="32"/>
  <c r="Z89" i="32"/>
  <c r="V76" i="47"/>
  <c r="Z109" i="32"/>
  <c r="W81" i="47" s="1"/>
  <c r="Z98" i="32"/>
  <c r="W68" i="47" s="1"/>
  <c r="V69" i="47"/>
  <c r="S82" i="47"/>
  <c r="V74" i="32"/>
  <c r="V77" i="32" s="1"/>
  <c r="AC110" i="32"/>
  <c r="AB120" i="32"/>
  <c r="Y66" i="47" s="1"/>
  <c r="AD107" i="32"/>
  <c r="Z77" i="47"/>
  <c r="AC121" i="32"/>
  <c r="AB111" i="32"/>
  <c r="Y79" i="47" s="1"/>
  <c r="AB112" i="32"/>
  <c r="Y78" i="47" s="1"/>
  <c r="X80" i="47"/>
  <c r="Y65" i="47"/>
  <c r="AC124" i="32"/>
  <c r="Z101" i="32"/>
  <c r="W72" i="47" s="1"/>
  <c r="V73" i="47"/>
  <c r="AC113" i="32"/>
  <c r="W64" i="47" l="1"/>
  <c r="W62" i="47"/>
  <c r="AD122" i="32"/>
  <c r="AD113" i="32"/>
  <c r="Z65" i="47"/>
  <c r="AD124" i="32"/>
  <c r="AE107" i="32"/>
  <c r="AA77" i="47"/>
  <c r="AC120" i="32"/>
  <c r="AD110" i="32"/>
  <c r="AA109" i="32"/>
  <c r="X81" i="47" s="1"/>
  <c r="W76" i="47"/>
  <c r="AB83" i="32"/>
  <c r="AA118" i="32"/>
  <c r="AA89" i="32"/>
  <c r="Z74" i="47"/>
  <c r="AD97" i="32"/>
  <c r="AD123" i="32"/>
  <c r="Z66" i="47"/>
  <c r="Z78" i="47"/>
  <c r="AD114" i="32"/>
  <c r="T82" i="47"/>
  <c r="W74" i="32"/>
  <c r="W77" i="32" s="1"/>
  <c r="W73" i="47"/>
  <c r="AA101" i="32"/>
  <c r="X72" i="47" s="1"/>
  <c r="Y80" i="47"/>
  <c r="AC112" i="32"/>
  <c r="AC111" i="32"/>
  <c r="Z79" i="47" s="1"/>
  <c r="AD121" i="32"/>
  <c r="AA98" i="32"/>
  <c r="X68" i="47" s="1"/>
  <c r="W69" i="47"/>
  <c r="X108" i="32"/>
  <c r="U75" i="47" s="1"/>
  <c r="Y82" i="32"/>
  <c r="X88" i="32"/>
  <c r="AA70" i="47"/>
  <c r="AE96" i="32"/>
  <c r="AE102" i="32"/>
  <c r="AA71" i="47"/>
  <c r="AE103" i="32"/>
  <c r="AC99" i="32"/>
  <c r="AA119" i="32"/>
  <c r="X67" i="47" s="1"/>
  <c r="W63" i="47"/>
  <c r="X64" i="47" l="1"/>
  <c r="X62" i="47"/>
  <c r="AE122" i="32"/>
  <c r="AD99" i="32"/>
  <c r="AF103" i="32"/>
  <c r="AB71" i="47"/>
  <c r="AF102" i="32"/>
  <c r="AF96" i="32"/>
  <c r="AB70" i="47"/>
  <c r="U82" i="47"/>
  <c r="X74" i="32"/>
  <c r="X77" i="32" s="1"/>
  <c r="AE114" i="32"/>
  <c r="AE97" i="32"/>
  <c r="AA74" i="47"/>
  <c r="AB118" i="32"/>
  <c r="AC83" i="32"/>
  <c r="AB89" i="32"/>
  <c r="AA65" i="47"/>
  <c r="AE124" i="32"/>
  <c r="AB119" i="32"/>
  <c r="Y67" i="47" s="1"/>
  <c r="X63" i="47"/>
  <c r="Z82" i="32"/>
  <c r="Y108" i="32"/>
  <c r="V75" i="47" s="1"/>
  <c r="Y88" i="32"/>
  <c r="AB98" i="32"/>
  <c r="Y68" i="47" s="1"/>
  <c r="X69" i="47"/>
  <c r="AE121" i="32"/>
  <c r="AD111" i="32"/>
  <c r="AA79" i="47" s="1"/>
  <c r="AD112" i="32"/>
  <c r="AA78" i="47" s="1"/>
  <c r="Z80" i="47"/>
  <c r="AB101" i="32"/>
  <c r="Y72" i="47" s="1"/>
  <c r="X73" i="47"/>
  <c r="AE123" i="32"/>
  <c r="X76" i="47"/>
  <c r="AB109" i="32"/>
  <c r="Y81" i="47" s="1"/>
  <c r="AE110" i="32"/>
  <c r="AD120" i="32"/>
  <c r="AA66" i="47" s="1"/>
  <c r="AB77" i="47"/>
  <c r="AF107" i="32"/>
  <c r="AE113" i="32"/>
  <c r="Y64" i="47" l="1"/>
  <c r="Y62" i="47"/>
  <c r="AF122" i="32"/>
  <c r="AF113" i="32"/>
  <c r="AC77" i="47"/>
  <c r="AG107" i="32"/>
  <c r="Y76" i="47"/>
  <c r="AC109" i="32"/>
  <c r="Z81" i="47" s="1"/>
  <c r="AB66" i="47"/>
  <c r="AF123" i="32"/>
  <c r="AC101" i="32"/>
  <c r="Z72" i="47" s="1"/>
  <c r="Y73" i="47"/>
  <c r="AA80" i="47"/>
  <c r="AE112" i="32"/>
  <c r="AB78" i="47" s="1"/>
  <c r="AF121" i="32"/>
  <c r="Y69" i="47"/>
  <c r="AC98" i="32"/>
  <c r="Z68" i="47" s="1"/>
  <c r="V82" i="47"/>
  <c r="Y74" i="32"/>
  <c r="Y77" i="32" s="1"/>
  <c r="AF124" i="32"/>
  <c r="AB65" i="47"/>
  <c r="AB74" i="47"/>
  <c r="AF97" i="32"/>
  <c r="AF114" i="32"/>
  <c r="AG102" i="32"/>
  <c r="AE120" i="32"/>
  <c r="AF110" i="32"/>
  <c r="AE111" i="32"/>
  <c r="AB79" i="47" s="1"/>
  <c r="Z108" i="32"/>
  <c r="W75" i="47" s="1"/>
  <c r="AA82" i="32"/>
  <c r="Z88" i="32"/>
  <c r="AC119" i="32"/>
  <c r="Z67" i="47" s="1"/>
  <c r="Y63" i="47"/>
  <c r="AD83" i="32"/>
  <c r="AC118" i="32"/>
  <c r="AC89" i="32"/>
  <c r="AC70" i="47"/>
  <c r="AG96" i="32"/>
  <c r="AC71" i="47"/>
  <c r="AG103" i="32"/>
  <c r="AE99" i="32"/>
  <c r="Z64" i="47" l="1"/>
  <c r="Z62" i="47"/>
  <c r="AG122" i="32"/>
  <c r="AH103" i="32"/>
  <c r="AD71" i="47"/>
  <c r="AH96" i="32"/>
  <c r="AD70" i="47"/>
  <c r="AE83" i="32"/>
  <c r="AD118" i="32"/>
  <c r="AD89" i="32"/>
  <c r="AD119" i="32"/>
  <c r="AA67" i="47" s="1"/>
  <c r="Z63" i="47"/>
  <c r="AB82" i="32"/>
  <c r="AA108" i="32"/>
  <c r="X75" i="47" s="1"/>
  <c r="AA88" i="32"/>
  <c r="AF111" i="32"/>
  <c r="AC79" i="47" s="1"/>
  <c r="AG110" i="32"/>
  <c r="AF120" i="32"/>
  <c r="AC66" i="47" s="1"/>
  <c r="AG114" i="32"/>
  <c r="AC78" i="47"/>
  <c r="AC74" i="47"/>
  <c r="AG97" i="32"/>
  <c r="AG121" i="32"/>
  <c r="AF112" i="32"/>
  <c r="AB80" i="47"/>
  <c r="AG123" i="32"/>
  <c r="AD109" i="32"/>
  <c r="AA81" i="47" s="1"/>
  <c r="Z76" i="47"/>
  <c r="AH107" i="32"/>
  <c r="AD77" i="47"/>
  <c r="AG113" i="32"/>
  <c r="AF99" i="32"/>
  <c r="W82" i="47"/>
  <c r="Z74" i="32"/>
  <c r="Z77" i="32" s="1"/>
  <c r="AH102" i="32"/>
  <c r="AC65" i="47"/>
  <c r="AG124" i="32"/>
  <c r="AD98" i="32"/>
  <c r="AA68" i="47" s="1"/>
  <c r="Z69" i="47"/>
  <c r="Z73" i="47"/>
  <c r="AD101" i="32"/>
  <c r="AA72" i="47" s="1"/>
  <c r="AA64" i="47" l="1"/>
  <c r="AA62" i="47"/>
  <c r="AH122" i="32"/>
  <c r="AA69" i="47"/>
  <c r="AE98" i="32"/>
  <c r="AB68" i="47" s="1"/>
  <c r="AI102" i="32"/>
  <c r="AH114" i="32"/>
  <c r="AD78" i="47"/>
  <c r="AB108" i="32"/>
  <c r="Y75" i="47" s="1"/>
  <c r="AC82" i="32"/>
  <c r="AB88" i="32"/>
  <c r="AE119" i="32"/>
  <c r="AB67" i="47" s="1"/>
  <c r="AA63" i="47"/>
  <c r="AE101" i="32"/>
  <c r="AB72" i="47" s="1"/>
  <c r="AA73" i="47"/>
  <c r="AH124" i="32"/>
  <c r="AD65" i="47"/>
  <c r="AG99" i="32"/>
  <c r="AH113" i="32"/>
  <c r="AI107" i="32"/>
  <c r="AE77" i="47"/>
  <c r="AE109" i="32"/>
  <c r="AB81" i="47" s="1"/>
  <c r="AA76" i="47"/>
  <c r="AH123" i="32"/>
  <c r="AG112" i="32"/>
  <c r="AC80" i="47"/>
  <c r="AH121" i="32"/>
  <c r="AD74" i="47"/>
  <c r="AH97" i="32"/>
  <c r="AG120" i="32"/>
  <c r="AD66" i="47" s="1"/>
  <c r="AH110" i="32"/>
  <c r="AG111" i="32"/>
  <c r="AD79" i="47" s="1"/>
  <c r="X82" i="47"/>
  <c r="AA74" i="32"/>
  <c r="AA77" i="32" s="1"/>
  <c r="AF83" i="32"/>
  <c r="AE118" i="32"/>
  <c r="AE89" i="32"/>
  <c r="AI96" i="32"/>
  <c r="AE70" i="47"/>
  <c r="AI103" i="32"/>
  <c r="AE71" i="47"/>
  <c r="AB64" i="47" l="1"/>
  <c r="AB62" i="47"/>
  <c r="AI122" i="32"/>
  <c r="AG83" i="32"/>
  <c r="AF118" i="32"/>
  <c r="AF89" i="32"/>
  <c r="AI110" i="32"/>
  <c r="AH120" i="32"/>
  <c r="AE66" i="47" s="1"/>
  <c r="AE74" i="47"/>
  <c r="AI97" i="32"/>
  <c r="AI121" i="32"/>
  <c r="AD80" i="47"/>
  <c r="AH112" i="32"/>
  <c r="AI123" i="32"/>
  <c r="AF109" i="32"/>
  <c r="AC81" i="47" s="1"/>
  <c r="AB76" i="47"/>
  <c r="AF77" i="47"/>
  <c r="AJ107" i="32"/>
  <c r="AI113" i="32"/>
  <c r="AH99" i="32"/>
  <c r="Y82" i="47"/>
  <c r="AB74" i="32"/>
  <c r="AB77" i="32" s="1"/>
  <c r="AE78" i="47"/>
  <c r="AI114" i="32"/>
  <c r="AJ102" i="32"/>
  <c r="AB69" i="47"/>
  <c r="AF98" i="32"/>
  <c r="AC68" i="47" s="1"/>
  <c r="AJ103" i="32"/>
  <c r="AF71" i="47"/>
  <c r="AJ96" i="32"/>
  <c r="AF70" i="47"/>
  <c r="AH111" i="32"/>
  <c r="AE79" i="47" s="1"/>
  <c r="AI124" i="32"/>
  <c r="AE65" i="47"/>
  <c r="AF101" i="32"/>
  <c r="AC72" i="47" s="1"/>
  <c r="AB73" i="47"/>
  <c r="AF119" i="32"/>
  <c r="AC67" i="47" s="1"/>
  <c r="AB63" i="47"/>
  <c r="AD82" i="32"/>
  <c r="AC108" i="32"/>
  <c r="Z75" i="47" s="1"/>
  <c r="AC88" i="32"/>
  <c r="AC64" i="47" l="1"/>
  <c r="AC62" i="47"/>
  <c r="AJ122" i="32"/>
  <c r="AE82" i="32"/>
  <c r="AD108" i="32"/>
  <c r="AA75" i="47" s="1"/>
  <c r="AD88" i="32"/>
  <c r="AG119" i="32"/>
  <c r="AD67" i="47" s="1"/>
  <c r="AC63" i="47"/>
  <c r="AG101" i="32"/>
  <c r="AD72" i="47" s="1"/>
  <c r="AC73" i="47"/>
  <c r="AF65" i="47"/>
  <c r="AJ124" i="32"/>
  <c r="AI99" i="32"/>
  <c r="AJ113" i="32"/>
  <c r="AG109" i="32"/>
  <c r="AD81" i="47" s="1"/>
  <c r="AC76" i="47"/>
  <c r="AJ97" i="32"/>
  <c r="AF74" i="47"/>
  <c r="AI120" i="32"/>
  <c r="AF66" i="47" s="1"/>
  <c r="AJ110" i="32"/>
  <c r="Z82" i="47"/>
  <c r="AC74" i="32"/>
  <c r="AC77" i="32" s="1"/>
  <c r="AI111" i="32"/>
  <c r="AF79" i="47" s="1"/>
  <c r="AG70" i="47"/>
  <c r="AK96" i="32"/>
  <c r="AG71" i="47"/>
  <c r="AK103" i="32"/>
  <c r="AG98" i="32"/>
  <c r="AD68" i="47" s="1"/>
  <c r="AC69" i="47"/>
  <c r="AK102" i="32"/>
  <c r="AJ114" i="32"/>
  <c r="AG77" i="47"/>
  <c r="AK107" i="32"/>
  <c r="AJ123" i="32"/>
  <c r="AE80" i="47"/>
  <c r="AI112" i="32"/>
  <c r="AF78" i="47" s="1"/>
  <c r="AJ121" i="32"/>
  <c r="AG118" i="32"/>
  <c r="AH83" i="32"/>
  <c r="AG89" i="32"/>
  <c r="AD64" i="47" l="1"/>
  <c r="AD62" i="47"/>
  <c r="AK122" i="32"/>
  <c r="AJ112" i="32"/>
  <c r="AF80" i="47"/>
  <c r="AK123" i="32"/>
  <c r="AH77" i="47"/>
  <c r="AL107" i="32"/>
  <c r="AG78" i="47"/>
  <c r="AK114" i="32"/>
  <c r="AH98" i="32"/>
  <c r="AE68" i="47" s="1"/>
  <c r="AD69" i="47"/>
  <c r="AJ111" i="32"/>
  <c r="AK110" i="32"/>
  <c r="AJ120" i="32"/>
  <c r="AG66" i="47" s="1"/>
  <c r="AK113" i="32"/>
  <c r="AG79" i="47"/>
  <c r="AD73" i="47"/>
  <c r="AH101" i="32"/>
  <c r="AE72" i="47" s="1"/>
  <c r="AD63" i="47"/>
  <c r="AH119" i="32"/>
  <c r="AE67" i="47" s="1"/>
  <c r="AA82" i="47"/>
  <c r="AD74" i="32"/>
  <c r="AD77" i="32" s="1"/>
  <c r="AI83" i="32"/>
  <c r="AH118" i="32"/>
  <c r="AH89" i="32"/>
  <c r="AK121" i="32"/>
  <c r="AL102" i="32"/>
  <c r="AH71" i="47"/>
  <c r="AL103" i="32"/>
  <c r="AL96" i="32"/>
  <c r="AH70" i="47"/>
  <c r="AG74" i="47"/>
  <c r="AK97" i="32"/>
  <c r="AH109" i="32"/>
  <c r="AE81" i="47" s="1"/>
  <c r="AD76" i="47"/>
  <c r="AJ99" i="32"/>
  <c r="AK124" i="32"/>
  <c r="AG65" i="47"/>
  <c r="AF82" i="32"/>
  <c r="AE108" i="32"/>
  <c r="AB75" i="47" s="1"/>
  <c r="AE88" i="32"/>
  <c r="AL122" i="32" l="1"/>
  <c r="AE64" i="47"/>
  <c r="AE62" i="47"/>
  <c r="AF108" i="32"/>
  <c r="AC75" i="47" s="1"/>
  <c r="AG82" i="32"/>
  <c r="AF88" i="32"/>
  <c r="AL124" i="32"/>
  <c r="AH65" i="47"/>
  <c r="AK99" i="32"/>
  <c r="AH74" i="47"/>
  <c r="AL97" i="32"/>
  <c r="AI70" i="47"/>
  <c r="AM96" i="32"/>
  <c r="AM102" i="32"/>
  <c r="AI119" i="32"/>
  <c r="AF67" i="47" s="1"/>
  <c r="AE63" i="47"/>
  <c r="AE73" i="47"/>
  <c r="AI101" i="32"/>
  <c r="AF72" i="47" s="1"/>
  <c r="AE69" i="47"/>
  <c r="AI98" i="32"/>
  <c r="AF68" i="47" s="1"/>
  <c r="AG80" i="47"/>
  <c r="AK112" i="32"/>
  <c r="AH78" i="47" s="1"/>
  <c r="AB82" i="47"/>
  <c r="AE74" i="32"/>
  <c r="AE77" i="32" s="1"/>
  <c r="AE76" i="47"/>
  <c r="AI109" i="32"/>
  <c r="AF81" i="47" s="1"/>
  <c r="AI71" i="47"/>
  <c r="AM103" i="32"/>
  <c r="AL121" i="32"/>
  <c r="AI118" i="32"/>
  <c r="AJ83" i="32"/>
  <c r="AI89" i="32"/>
  <c r="AL113" i="32"/>
  <c r="AK120" i="32"/>
  <c r="AH66" i="47" s="1"/>
  <c r="AL110" i="32"/>
  <c r="AK111" i="32"/>
  <c r="AH79" i="47" s="1"/>
  <c r="AL114" i="32"/>
  <c r="AM107" i="32"/>
  <c r="AI77" i="47"/>
  <c r="AL123" i="32"/>
  <c r="AF64" i="47" l="1"/>
  <c r="AF62" i="47"/>
  <c r="AM122" i="32"/>
  <c r="AM123" i="32"/>
  <c r="AM114" i="32"/>
  <c r="AL111" i="32"/>
  <c r="AF76" i="47"/>
  <c r="AJ109" i="32"/>
  <c r="AG81" i="47" s="1"/>
  <c r="AJ98" i="32"/>
  <c r="AG68" i="47" s="1"/>
  <c r="AF69" i="47"/>
  <c r="AF73" i="47"/>
  <c r="AJ101" i="32"/>
  <c r="AG72" i="47" s="1"/>
  <c r="AN102" i="32"/>
  <c r="AN96" i="32"/>
  <c r="AJ70" i="47"/>
  <c r="AM97" i="32"/>
  <c r="AI74" i="47"/>
  <c r="AL99" i="32"/>
  <c r="AI65" i="47"/>
  <c r="AM124" i="32"/>
  <c r="AH82" i="32"/>
  <c r="AG108" i="32"/>
  <c r="AD75" i="47" s="1"/>
  <c r="AG88" i="32"/>
  <c r="AJ77" i="47"/>
  <c r="AN107" i="32"/>
  <c r="AM110" i="32"/>
  <c r="AL120" i="32"/>
  <c r="AI66" i="47" s="1"/>
  <c r="AI79" i="47"/>
  <c r="AM113" i="32"/>
  <c r="AJ118" i="32"/>
  <c r="AK83" i="32"/>
  <c r="AJ89" i="32"/>
  <c r="AM121" i="32"/>
  <c r="AJ71" i="47"/>
  <c r="AN103" i="32"/>
  <c r="AL112" i="32"/>
  <c r="AI78" i="47" s="1"/>
  <c r="AH80" i="47"/>
  <c r="AF63" i="47"/>
  <c r="AJ119" i="32"/>
  <c r="AG67" i="47" s="1"/>
  <c r="AC82" i="47"/>
  <c r="AF74" i="32"/>
  <c r="AF77" i="32" s="1"/>
  <c r="AN122" i="32" l="1"/>
  <c r="AG64" i="47"/>
  <c r="AG62" i="47"/>
  <c r="AK119" i="32"/>
  <c r="AH67" i="47" s="1"/>
  <c r="AG63" i="47"/>
  <c r="AK118" i="32"/>
  <c r="AL83" i="32"/>
  <c r="AK89" i="32"/>
  <c r="AJ79" i="47"/>
  <c r="AN113" i="32"/>
  <c r="AK77" i="47"/>
  <c r="AO107" i="32"/>
  <c r="AI82" i="32"/>
  <c r="AH108" i="32"/>
  <c r="AE75" i="47" s="1"/>
  <c r="AH88" i="32"/>
  <c r="AO102" i="32"/>
  <c r="AG73" i="47"/>
  <c r="AK101" i="32"/>
  <c r="AH72" i="47" s="1"/>
  <c r="AG69" i="47"/>
  <c r="AK98" i="32"/>
  <c r="AH68" i="47" s="1"/>
  <c r="AM112" i="32"/>
  <c r="AJ78" i="47" s="1"/>
  <c r="AI80" i="47"/>
  <c r="AO103" i="32"/>
  <c r="AK71" i="47"/>
  <c r="AN121" i="32"/>
  <c r="AM120" i="32"/>
  <c r="AJ66" i="47" s="1"/>
  <c r="AN110" i="32"/>
  <c r="AD82" i="47"/>
  <c r="AG74" i="32"/>
  <c r="AG77" i="32" s="1"/>
  <c r="AN124" i="32"/>
  <c r="AJ65" i="47"/>
  <c r="AM99" i="32"/>
  <c r="AN97" i="32"/>
  <c r="AJ74" i="47"/>
  <c r="AO96" i="32"/>
  <c r="AK70" i="47"/>
  <c r="AK109" i="32"/>
  <c r="AH81" i="47" s="1"/>
  <c r="AG76" i="47"/>
  <c r="AM111" i="32"/>
  <c r="AN114" i="32"/>
  <c r="AN123" i="32"/>
  <c r="AH64" i="47" l="1"/>
  <c r="AH62" i="47"/>
  <c r="AO122" i="32"/>
  <c r="AN111" i="32"/>
  <c r="AO124" i="32"/>
  <c r="AK65" i="47"/>
  <c r="AO110" i="32"/>
  <c r="AN120" i="32"/>
  <c r="AK66" i="47" s="1"/>
  <c r="AP103" i="32"/>
  <c r="AL71" i="47"/>
  <c r="AN112" i="32"/>
  <c r="AK78" i="47" s="1"/>
  <c r="AJ80" i="47"/>
  <c r="AP102" i="32"/>
  <c r="AE82" i="47"/>
  <c r="AH74" i="32"/>
  <c r="AH77" i="32" s="1"/>
  <c r="AL77" i="47"/>
  <c r="AP107" i="32"/>
  <c r="AK79" i="47"/>
  <c r="AO113" i="32"/>
  <c r="AO123" i="32"/>
  <c r="AO114" i="32"/>
  <c r="AL109" i="32"/>
  <c r="AI81" i="47" s="1"/>
  <c r="AH76" i="47"/>
  <c r="AP96" i="32"/>
  <c r="AM70" i="47" s="1"/>
  <c r="AL70" i="47"/>
  <c r="AO97" i="32"/>
  <c r="AK74" i="47"/>
  <c r="AN99" i="32"/>
  <c r="AO121" i="32"/>
  <c r="AL98" i="32"/>
  <c r="AI68" i="47" s="1"/>
  <c r="AH69" i="47"/>
  <c r="AL101" i="32"/>
  <c r="AI72" i="47" s="1"/>
  <c r="AH73" i="47"/>
  <c r="AJ82" i="32"/>
  <c r="AI108" i="32"/>
  <c r="AF75" i="47" s="1"/>
  <c r="AI88" i="32"/>
  <c r="AL118" i="32"/>
  <c r="AM83" i="32"/>
  <c r="AL89" i="32"/>
  <c r="AH63" i="47"/>
  <c r="AL119" i="32"/>
  <c r="AI67" i="47" s="1"/>
  <c r="AP122" i="32" l="1"/>
  <c r="AI64" i="47"/>
  <c r="AI62" i="47"/>
  <c r="AM71" i="47"/>
  <c r="AM77" i="47"/>
  <c r="AI63" i="47"/>
  <c r="AM119" i="32"/>
  <c r="AJ67" i="47" s="1"/>
  <c r="AF82" i="47"/>
  <c r="AI74" i="32"/>
  <c r="AI77" i="32" s="1"/>
  <c r="AM98" i="32"/>
  <c r="AJ68" i="47" s="1"/>
  <c r="AI69" i="47"/>
  <c r="AO99" i="32"/>
  <c r="AL74" i="47"/>
  <c r="AP97" i="32"/>
  <c r="AM74" i="47" s="1"/>
  <c r="AI76" i="47"/>
  <c r="AM109" i="32"/>
  <c r="AJ81" i="47" s="1"/>
  <c r="AP114" i="32"/>
  <c r="AP123" i="32"/>
  <c r="AP113" i="32"/>
  <c r="AM118" i="32"/>
  <c r="AN83" i="32"/>
  <c r="AM89" i="32"/>
  <c r="AK82" i="32"/>
  <c r="AJ108" i="32"/>
  <c r="AG75" i="47" s="1"/>
  <c r="AJ88" i="32"/>
  <c r="AM101" i="32"/>
  <c r="AJ72" i="47" s="1"/>
  <c r="AI73" i="47"/>
  <c r="AP121" i="32"/>
  <c r="AO112" i="32"/>
  <c r="AL78" i="47" s="1"/>
  <c r="AK80" i="47"/>
  <c r="AO120" i="32"/>
  <c r="AL66" i="47" s="1"/>
  <c r="AP110" i="32"/>
  <c r="AL65" i="47"/>
  <c r="AP124" i="32"/>
  <c r="AO111" i="32"/>
  <c r="AL79" i="47" s="1"/>
  <c r="AJ64" i="47" l="1"/>
  <c r="AJ62" i="47"/>
  <c r="AM65" i="47"/>
  <c r="AM66" i="47"/>
  <c r="AJ73" i="47"/>
  <c r="AN101" i="32"/>
  <c r="AK72" i="47" s="1"/>
  <c r="AG82" i="47"/>
  <c r="AJ74" i="32"/>
  <c r="AJ77" i="32" s="1"/>
  <c r="AJ63" i="47"/>
  <c r="AN119" i="32"/>
  <c r="AK67" i="47" s="1"/>
  <c r="AP111" i="32"/>
  <c r="AM79" i="47" s="1"/>
  <c r="AP120" i="32"/>
  <c r="AL80" i="47"/>
  <c r="AP112" i="32"/>
  <c r="AM78" i="47" s="1"/>
  <c r="AL82" i="32"/>
  <c r="AK108" i="32"/>
  <c r="AH75" i="47" s="1"/>
  <c r="AK88" i="32"/>
  <c r="AO83" i="32"/>
  <c r="AN118" i="32"/>
  <c r="AN89" i="32"/>
  <c r="AN109" i="32"/>
  <c r="AK81" i="47" s="1"/>
  <c r="AJ76" i="47"/>
  <c r="AP99" i="32"/>
  <c r="AN98" i="32"/>
  <c r="AK68" i="47" s="1"/>
  <c r="AJ69" i="47"/>
  <c r="AK64" i="47" l="1"/>
  <c r="AK62" i="47"/>
  <c r="AM80" i="47"/>
  <c r="AK69" i="47"/>
  <c r="AO98" i="32"/>
  <c r="AL68" i="47" s="1"/>
  <c r="AO118" i="32"/>
  <c r="AP83" i="32"/>
  <c r="AO89" i="32"/>
  <c r="AH82" i="47"/>
  <c r="AK74" i="32"/>
  <c r="AK77" i="32" s="1"/>
  <c r="AK73" i="47"/>
  <c r="AO101" i="32"/>
  <c r="AL72" i="47" s="1"/>
  <c r="AO109" i="32"/>
  <c r="AL81" i="47" s="1"/>
  <c r="AK76" i="47"/>
  <c r="AL108" i="32"/>
  <c r="AI75" i="47" s="1"/>
  <c r="AM82" i="32"/>
  <c r="AL88" i="32"/>
  <c r="AO119" i="32"/>
  <c r="AL67" i="47" s="1"/>
  <c r="AK63" i="47"/>
  <c r="AL64" i="47" l="1"/>
  <c r="AL62" i="47"/>
  <c r="AP119" i="32"/>
  <c r="AM67" i="47" s="1"/>
  <c r="AL63" i="47"/>
  <c r="AN82" i="32"/>
  <c r="AM108" i="32"/>
  <c r="AJ75" i="47" s="1"/>
  <c r="AM88" i="32"/>
  <c r="AP101" i="32"/>
  <c r="AL73" i="47"/>
  <c r="AP118" i="32"/>
  <c r="AM62" i="47" s="1"/>
  <c r="AP89" i="32"/>
  <c r="AP98" i="32"/>
  <c r="AM68" i="47" s="1"/>
  <c r="AL69" i="47"/>
  <c r="AI82" i="47"/>
  <c r="AL74" i="32"/>
  <c r="AL77" i="32" s="1"/>
  <c r="AP109" i="32"/>
  <c r="AM81" i="47" s="1"/>
  <c r="AL76" i="47"/>
  <c r="AM73" i="47" l="1"/>
  <c r="AM72" i="47"/>
  <c r="AM76" i="47"/>
  <c r="AM63" i="47"/>
  <c r="AM64" i="47"/>
  <c r="AM69" i="47"/>
  <c r="AO82" i="32"/>
  <c r="AN108" i="32"/>
  <c r="AK75" i="47" s="1"/>
  <c r="AN88" i="32"/>
  <c r="AJ82" i="47"/>
  <c r="AM74" i="32"/>
  <c r="AM77" i="32" s="1"/>
  <c r="AP82" i="32" l="1"/>
  <c r="AO108" i="32"/>
  <c r="AL75" i="47" s="1"/>
  <c r="AO88" i="32"/>
  <c r="AK82" i="47"/>
  <c r="AN74" i="32"/>
  <c r="AN77" i="32" s="1"/>
  <c r="AP108" i="32" l="1"/>
  <c r="AM75" i="47" s="1"/>
  <c r="AP88" i="32"/>
  <c r="AL82" i="47"/>
  <c r="AO74" i="32"/>
  <c r="AO77" i="32" s="1"/>
  <c r="AM82" i="47" l="1"/>
  <c r="AP74" i="32"/>
  <c r="AP77" i="3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tc={A5280B53-A271-42ED-96D3-CB1B3BB3FF94}</author>
  </authors>
  <commentList>
    <comment ref="C30" authorId="0" shapeId="0" xr:uid="{00000000-0006-0000-0800-000001000000}">
      <text>
        <t>[Threaded comment]
Your version of Excel allows you to read this threaded comment; however, any edits to it will get removed if the file is opened in a newer version of Excel. Learn more: https://go.microsoft.com/fwlink/?linkid=870924
Comment:
    interpolating here, otherwise too big a jump occurs in 2015</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00000000-0006-0000-1200-000001000000}">
      <text>
        <r>
          <rPr>
            <b/>
            <sz val="9"/>
            <color indexed="81"/>
            <rFont val="Tahoma"/>
            <family val="2"/>
          </rPr>
          <t>bruno merven:</t>
        </r>
        <r>
          <rPr>
            <sz val="9"/>
            <color indexed="81"/>
            <rFont val="Tahoma"/>
            <family val="2"/>
          </rPr>
          <t xml:space="preserve">
historical average</t>
        </r>
      </text>
    </comment>
    <comment ref="M23" authorId="0" shapeId="0" xr:uid="{00000000-0006-0000-1200-000002000000}">
      <text>
        <r>
          <rPr>
            <b/>
            <sz val="9"/>
            <color indexed="81"/>
            <rFont val="Tahoma"/>
            <family val="2"/>
          </rPr>
          <t>bruno merven:</t>
        </r>
        <r>
          <rPr>
            <sz val="9"/>
            <color indexed="81"/>
            <rFont val="Tahoma"/>
            <family val="2"/>
          </rPr>
          <t xml:space="preserve">
historical</t>
        </r>
      </text>
    </comment>
    <comment ref="N23" authorId="0" shapeId="0" xr:uid="{00000000-0006-0000-1200-000003000000}">
      <text>
        <r>
          <rPr>
            <b/>
            <sz val="9"/>
            <color indexed="81"/>
            <rFont val="Tahoma"/>
            <family val="2"/>
          </rPr>
          <t>bruno merven:</t>
        </r>
        <r>
          <rPr>
            <sz val="9"/>
            <color indexed="81"/>
            <rFont val="Tahoma"/>
            <family val="2"/>
          </rPr>
          <t xml:space="preserve">
2 year lag</t>
        </r>
      </text>
    </comment>
    <comment ref="C27" authorId="1" shapeId="0" xr:uid="{00000000-0006-0000-1200-000004000000}">
      <text>
        <r>
          <rPr>
            <b/>
            <sz val="9"/>
            <color indexed="81"/>
            <rFont val="Tahoma"/>
            <family val="2"/>
          </rPr>
          <t>Bryce McCall:</t>
        </r>
        <r>
          <rPr>
            <sz val="9"/>
            <color indexed="81"/>
            <rFont val="Tahoma"/>
            <family val="2"/>
          </rPr>
          <t xml:space="preserve">
Adrian is using 20-22% in the commerce EE study with DoE</t>
        </r>
      </text>
    </comment>
    <comment ref="AZ75" authorId="2" shapeId="0" xr:uid="{00000000-0006-0000-1200-000005000000}">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B42" authorId="0" shapeId="0" xr:uid="{7B7AC399-BFF0-4E2B-81EB-16B5B034182E}">
      <text>
        <r>
          <rPr>
            <b/>
            <sz val="9"/>
            <color indexed="81"/>
            <rFont val="Tahoma"/>
            <family val="2"/>
          </rPr>
          <t>fadiel: 2015 calibration</t>
        </r>
        <r>
          <rPr>
            <sz val="9"/>
            <color indexed="81"/>
            <rFont val="Tahoma"/>
            <family val="2"/>
          </rPr>
          <t xml:space="preserve">
2015-Annual-FSV-at-National-Level (1) 
OGS differential 2015 consumption factor</t>
        </r>
      </text>
    </comment>
    <comment ref="B53" authorId="2"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2"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E77" authorId="2"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s>
  <commentList>
    <comment ref="B16" authorId="0"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0" shapeId="0" xr:uid="{00000000-0006-0000-1600-000002000000}">
      <text>
        <r>
          <rPr>
            <b/>
            <sz val="8"/>
            <color indexed="81"/>
            <rFont val="Tahoma"/>
            <family val="2"/>
          </rPr>
          <t>Bruno Merven:</t>
        </r>
        <r>
          <rPr>
            <sz val="8"/>
            <color indexed="81"/>
            <rFont val="Tahoma"/>
            <family val="2"/>
          </rPr>
          <t xml:space="preserve">
From 2006 Energy Balance</t>
        </r>
      </text>
    </comment>
    <comment ref="K22" authorId="1" shapeId="0" xr:uid="{00000000-0006-0000-1600-000003000000}">
      <text>
        <r>
          <rPr>
            <b/>
            <sz val="9"/>
            <color indexed="81"/>
            <rFont val="Tahoma"/>
            <family val="2"/>
          </rPr>
          <t>bruno merven:</t>
        </r>
        <r>
          <rPr>
            <sz val="9"/>
            <color indexed="81"/>
            <rFont val="Tahoma"/>
            <family val="2"/>
          </rPr>
          <t xml:space="preserve">
2013 EB
</t>
        </r>
      </text>
    </comment>
  </commentList>
</comments>
</file>

<file path=xl/sharedStrings.xml><?xml version="1.0" encoding="utf-8"?>
<sst xmlns="http://schemas.openxmlformats.org/spreadsheetml/2006/main" count="4255" uniqueCount="679">
  <si>
    <t>Other</t>
  </si>
  <si>
    <t>Agriculture</t>
  </si>
  <si>
    <t>Electricity</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</si>
  <si>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</si>
  <si>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</si>
  <si>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</si>
  <si>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</si>
  <si>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</si>
  <si>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</si>
  <si>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</si>
  <si>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</si>
  <si>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</si>
  <si>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</si>
  <si>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</si>
  <si>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</si>
  <si>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</si>
  <si>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</si>
  <si>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</si>
  <si>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</si>
  <si>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</si>
  <si>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</si>
  <si>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</si>
  <si>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</si>
  <si>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</si>
  <si>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</si>
  <si>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</si>
  <si>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</si>
  <si>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</si>
  <si>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</si>
  <si>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</si>
  <si>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</si>
  <si>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</si>
  <si>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</si>
  <si>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</si>
  <si>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</si>
  <si>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</si>
  <si>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</si>
  <si>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</si>
  <si>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</si>
  <si>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</si>
  <si>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</si>
  <si>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</si>
  <si>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</si>
  <si>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</si>
  <si>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</si>
  <si>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</si>
  <si>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</si>
  <si>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</si>
  <si>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</si>
  <si>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</si>
  <si>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</si>
  <si>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</si>
  <si>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</si>
  <si>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</si>
  <si>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</si>
  <si>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</si>
  <si>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</si>
  <si>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</si>
  <si>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</si>
  <si>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</si>
  <si>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</si>
  <si>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</si>
  <si>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</si>
  <si>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</si>
  <si>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</si>
  <si>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</si>
  <si>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</si>
  <si>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</si>
  <si>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</si>
  <si>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</si>
  <si>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</si>
  <si>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</si>
  <si>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</si>
  <si>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</si>
  <si>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</si>
  <si>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</si>
  <si>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</si>
  <si>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</si>
  <si>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</si>
  <si>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</si>
  <si>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</si>
  <si>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</si>
  <si>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</si>
  <si>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</si>
  <si>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</si>
  <si>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</si>
  <si>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</si>
  <si>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</si>
  <si>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</si>
  <si>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</si>
  <si>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</si>
  <si>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</si>
  <si>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</si>
  <si>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</si>
  <si>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</si>
  <si>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</si>
  <si>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</si>
  <si>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</si>
  <si>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</si>
  <si>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</si>
  <si>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</si>
  <si>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</si>
  <si>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</si>
  <si>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</si>
  <si>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</si>
  <si>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</si>
  <si>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</si>
  <si>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</si>
  <si>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</si>
  <si>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</si>
  <si>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</si>
  <si>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</si>
  <si>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</si>
  <si>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</si>
  <si>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</si>
  <si>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</si>
  <si>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</si>
  <si>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</si>
  <si>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</si>
  <si>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</si>
  <si>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</si>
  <si>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</si>
  <si>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</si>
  <si>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</si>
  <si>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</si>
  <si>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</si>
  <si>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</si>
  <si>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</si>
  <si>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</si>
  <si>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</si>
  <si>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</si>
  <si>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</si>
  <si>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</si>
  <si>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</si>
  <si>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</si>
  <si>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</si>
  <si>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</si>
  <si>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</si>
  <si>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</si>
  <si>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</si>
  <si>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</si>
  <si>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</si>
  <si>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</si>
  <si>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</si>
  <si>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</si>
  <si>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</si>
  <si>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</si>
  <si>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</si>
  <si>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</si>
  <si>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</si>
  <si>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</si>
  <si>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</si>
  <si>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</si>
  <si>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</si>
  <si>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</si>
  <si>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</si>
  <si>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</si>
  <si>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</si>
  <si>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</si>
  <si>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</si>
  <si>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</si>
  <si>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</si>
  <si>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</si>
  <si>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</si>
  <si>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</si>
  <si>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</si>
  <si>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</si>
  <si>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</si>
  <si>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</si>
  <si>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</si>
  <si>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</si>
  <si>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</si>
  <si>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</si>
  <si>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</si>
  <si>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</si>
  <si>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</si>
  <si>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</si>
  <si>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</si>
  <si>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</si>
  <si>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</si>
  <si>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</si>
  <si>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</si>
  <si>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</si>
  <si>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</si>
  <si>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</si>
  <si>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</si>
  <si>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</si>
  <si>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</si>
  <si>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</si>
  <si>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</si>
  <si>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</si>
  <si>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</si>
  <si>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</si>
  <si>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</si>
  <si>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</si>
  <si>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</si>
  <si>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</si>
  <si>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</si>
  <si>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</si>
  <si>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</si>
  <si>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</si>
  <si>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</si>
  <si>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</si>
  <si>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</si>
  <si>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</si>
  <si>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</si>
  <si>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</si>
  <si>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</si>
  <si>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</si>
  <si>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</si>
  <si>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</si>
  <si>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</si>
  <si>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</si>
  <si>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</si>
  <si>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</si>
  <si>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</si>
  <si>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</si>
  <si>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</si>
  <si>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</si>
  <si>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</si>
  <si>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</si>
  <si>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</si>
  <si>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</si>
  <si>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</si>
  <si>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</si>
  <si>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</si>
  <si>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</si>
  <si>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</si>
  <si>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</si>
  <si>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</si>
  <si>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</si>
  <si>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</si>
  <si>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</si>
  <si>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</si>
  <si>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</si>
  <si>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</si>
  <si>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</si>
  <si>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</si>
  <si>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</si>
  <si>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</si>
  <si>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</si>
  <si>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</si>
  <si>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</si>
  <si>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</si>
  <si>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</si>
  <si>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</si>
  <si>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</si>
  <si>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</si>
  <si>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</si>
  <si>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</si>
  <si>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</si>
  <si>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</si>
  <si>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</si>
  <si>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</si>
  <si>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</si>
  <si>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</si>
  <si>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</si>
  <si>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</si>
  <si>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</si>
  <si>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</si>
  <si>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</si>
  <si>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</si>
  <si>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</si>
  <si>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</si>
  <si>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</si>
  <si>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</si>
  <si>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</si>
  <si>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</si>
  <si>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</si>
  <si>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</si>
  <si>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</si>
  <si>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</si>
  <si>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base</t>
  </si>
  <si>
    <t>sim1</t>
  </si>
  <si>
    <t>Greenshoots</t>
  </si>
  <si>
    <t>sim2</t>
  </si>
  <si>
    <t>SO Moderate</t>
  </si>
  <si>
    <t>sim3</t>
  </si>
  <si>
    <t>Weathering the Storm</t>
  </si>
  <si>
    <t>sim4</t>
  </si>
  <si>
    <t>SO Low</t>
  </si>
  <si>
    <t>tsGDP</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</si>
  <si>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</si>
  <si>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</si>
  <si>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</si>
  <si>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</si>
  <si>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</si>
  <si>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</si>
  <si>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</si>
  <si>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</si>
  <si>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</si>
  <si>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</si>
  <si>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</si>
  <si>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</si>
  <si>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</si>
  <si>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</si>
  <si>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</si>
  <si>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</si>
  <si>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</si>
  <si>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</si>
  <si>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</si>
  <si>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</si>
  <si>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tsPOP</t>
  </si>
  <si>
    <t>High Income Group Average Income</t>
  </si>
  <si>
    <t>subsector</t>
  </si>
  <si>
    <t>Growth Scenario</t>
  </si>
  <si>
    <t>INMLIM</t>
  </si>
  <si>
    <t>INMGLA</t>
  </si>
  <si>
    <t>INMBRI</t>
  </si>
  <si>
    <t>IPPPAP</t>
  </si>
  <si>
    <t>IPPPULPD</t>
  </si>
  <si>
    <t>par</t>
  </si>
  <si>
    <t>rdim</t>
  </si>
  <si>
    <t>cdim</t>
  </si>
  <si>
    <t>COM_PROJ_BY</t>
  </si>
  <si>
    <t>DMD!A5</t>
  </si>
  <si>
    <t>GDP_FSX</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</si>
  <si>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</si>
  <si>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</si>
  <si>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</si>
  <si>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</si>
  <si>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</si>
  <si>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</si>
  <si>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</si>
  <si>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</si>
  <si>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</si>
  <si>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</si>
  <si>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</si>
  <si>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</si>
  <si>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</si>
  <si>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</si>
  <si>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</si>
  <si>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</si>
  <si>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</si>
  <si>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</si>
  <si>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</si>
  <si>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</si>
  <si>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</si>
  <si>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</si>
  <si>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</si>
  <si>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</si>
  <si>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</si>
  <si>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</si>
  <si>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</si>
  <si>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</si>
  <si>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</si>
  <si>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</si>
  <si>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</si>
  <si>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</si>
  <si>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</si>
  <si>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</si>
  <si>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</si>
  <si>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</si>
  <si>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</si>
  <si>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</si>
  <si>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</si>
  <si>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</si>
  <si>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</si>
  <si>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</si>
  <si>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</si>
  <si>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</si>
  <si>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</si>
  <si>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</si>
  <si>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</si>
  <si>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</si>
  <si>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</si>
  <si>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</si>
  <si>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</si>
  <si>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</si>
  <si>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</si>
  <si>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</si>
  <si>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</si>
  <si>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</si>
  <si>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</si>
  <si>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</si>
  <si>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</si>
  <si>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</si>
  <si>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</si>
  <si>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</si>
  <si>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</si>
  <si>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</si>
  <si>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</si>
  <si>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</si>
  <si>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</si>
  <si>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</si>
  <si>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</si>
  <si>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</si>
  <si>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</si>
  <si>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</si>
  <si>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</si>
  <si>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</si>
  <si>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</si>
  <si>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</si>
  <si>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</si>
  <si>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</si>
  <si>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</si>
  <si>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</si>
  <si>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</si>
  <si>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</si>
  <si>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</si>
  <si>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</si>
  <si>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</si>
  <si>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</si>
  <si>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</si>
  <si>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</si>
  <si>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</si>
  <si>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</si>
  <si>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</si>
  <si>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he-Income</t>
  </si>
  <si>
    <t>Population</t>
  </si>
  <si>
    <t>hhd-le frac</t>
  </si>
  <si>
    <t>hhd-me frac</t>
  </si>
  <si>
    <t>hhd-he frac</t>
  </si>
  <si>
    <t>hhd-le pop</t>
  </si>
  <si>
    <t>hhd-me pop</t>
  </si>
  <si>
    <t>hhd-he pop</t>
  </si>
  <si>
    <t>hhd-he income</t>
  </si>
  <si>
    <t>Sectoral GDP</t>
  </si>
  <si>
    <t>MC row number</t>
  </si>
  <si>
    <t>MCDrivers!A5</t>
  </si>
  <si>
    <t>MCDrivers!A42</t>
  </si>
  <si>
    <t>Demand Switch</t>
  </si>
  <si>
    <t>total</t>
  </si>
  <si>
    <t>(1: use YIX, HFORE from CGE, 0: use regression function)</t>
  </si>
  <si>
    <t>High Income</t>
  </si>
  <si>
    <t>2015-Jan-April</t>
  </si>
  <si>
    <t>Added a whole lot of links to CGE and also and Monte Carlo Link</t>
  </si>
  <si>
    <t>Bruno</t>
  </si>
  <si>
    <t>MCDrivers!A50</t>
  </si>
  <si>
    <t>TRAMOD</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</si>
  <si>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</si>
  <si>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</si>
  <si>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</si>
  <si>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</si>
  <si>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</si>
  <si>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</si>
  <si>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</si>
  <si>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</si>
  <si>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</si>
  <si>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</si>
  <si>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</si>
  <si>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</si>
  <si>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</si>
  <si>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</si>
  <si>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</si>
  <si>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</si>
  <si>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</si>
  <si>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</si>
  <si>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</si>
  <si>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</si>
  <si>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</si>
  <si>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</si>
  <si>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</si>
  <si>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</si>
  <si>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</si>
  <si>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Passengerkm</t>
  </si>
  <si>
    <t>Tonkm</t>
  </si>
  <si>
    <t>Population share</t>
  </si>
  <si>
    <t>High Income group average income</t>
  </si>
  <si>
    <t>low income</t>
  </si>
  <si>
    <t>medium income</t>
  </si>
  <si>
    <t>high income</t>
  </si>
  <si>
    <t>Pkm by income by mode</t>
  </si>
  <si>
    <t>TPPU</t>
  </si>
  <si>
    <t>TPPR</t>
  </si>
  <si>
    <t>Private</t>
  </si>
  <si>
    <t>Public</t>
  </si>
  <si>
    <t>Commerce</t>
  </si>
  <si>
    <t>Mining</t>
  </si>
  <si>
    <t>Food&amp;Bev</t>
  </si>
  <si>
    <t>Pulp&amp;Paper</t>
  </si>
  <si>
    <t>Chemicals</t>
  </si>
  <si>
    <t>Non-metal.Min.</t>
  </si>
  <si>
    <t>Iron&amp;Steel</t>
  </si>
  <si>
    <t>Non-fer.Met.</t>
  </si>
  <si>
    <t>GDP growth</t>
  </si>
  <si>
    <t>1: use YIX, 0: regression function</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</si>
  <si>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</si>
  <si>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</si>
  <si>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</si>
  <si>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</si>
  <si>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</si>
  <si>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</si>
  <si>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</si>
  <si>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</si>
  <si>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</si>
  <si>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</si>
  <si>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</si>
  <si>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</si>
  <si>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</si>
  <si>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</si>
  <si>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</si>
  <si>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</si>
  <si>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</si>
  <si>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</si>
  <si>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</si>
  <si>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</si>
  <si>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</si>
  <si>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</si>
  <si>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</si>
  <si>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</si>
  <si>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</si>
  <si>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</si>
  <si>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</si>
  <si>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</si>
  <si>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IFA_M</t>
  </si>
  <si>
    <t>Commerce sector EE gains</t>
  </si>
  <si>
    <t>Gain</t>
  </si>
  <si>
    <t>Modal Shift</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</si>
  <si>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</si>
  <si>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</si>
  <si>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</si>
  <si>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</si>
  <si>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</si>
  <si>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</si>
  <si>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</si>
  <si>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</si>
  <si>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</si>
  <si>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</si>
  <si>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</si>
  <si>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</si>
  <si>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</si>
  <si>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</si>
  <si>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</si>
  <si>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</si>
  <si>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</si>
  <si>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</si>
  <si>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</si>
  <si>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</si>
  <si>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</si>
  <si>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</si>
  <si>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</si>
  <si>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</si>
  <si>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</si>
  <si>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</si>
  <si>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</si>
  <si>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</si>
  <si>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</si>
  <si>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PKMFH</t>
  </si>
  <si>
    <t>SFORE_X</t>
  </si>
  <si>
    <t>MCDrivers!A80</t>
  </si>
  <si>
    <t>TFHPOP_X</t>
  </si>
  <si>
    <t>MCDrivers!A100</t>
  </si>
  <si>
    <t>set</t>
  </si>
  <si>
    <t>MFHHT</t>
  </si>
  <si>
    <t>MCDrivers!A120</t>
  </si>
  <si>
    <t>To do:</t>
  </si>
  <si>
    <t>Fix years in MCEcon</t>
  </si>
  <si>
    <t>Add flag for regression function to parameter that gets written by MCSIM</t>
  </si>
  <si>
    <t>Separate flags for passenger and freight</t>
  </si>
  <si>
    <t>Cleanup MCEcon</t>
  </si>
  <si>
    <t>TFHPOPMY</t>
  </si>
  <si>
    <t>MCDrivers!A60</t>
  </si>
  <si>
    <t>YHE</t>
  </si>
  <si>
    <t>MCDrivers!A70</t>
  </si>
  <si>
    <t>Floor Area Elasticity to Commerce GDP</t>
  </si>
  <si>
    <t>2015 '000R/year/pp</t>
  </si>
  <si>
    <t>POPSX</t>
  </si>
  <si>
    <t>For PAMS</t>
  </si>
  <si>
    <t>Option</t>
  </si>
  <si>
    <t>Reference case</t>
  </si>
  <si>
    <t>Commercial buildings only - 37%</t>
  </si>
  <si>
    <t>Public buildings (50%) &amp; services (20%)</t>
  </si>
  <si>
    <t>1 and 2</t>
  </si>
  <si>
    <t>Scenario status</t>
  </si>
  <si>
    <t>Included new parameter in Index_SATIM for PAMS - line 14</t>
  </si>
  <si>
    <t>Index_G2E</t>
  </si>
  <si>
    <t>Faaiqa</t>
  </si>
  <si>
    <t>Adjustments for Commerce PAMS completed</t>
  </si>
  <si>
    <t>RHEWG</t>
  </si>
  <si>
    <t>Hhld share STATSSA</t>
  </si>
  <si>
    <t>PAMS</t>
  </si>
  <si>
    <t>fb</t>
  </si>
  <si>
    <t>ot</t>
  </si>
  <si>
    <t>pp</t>
  </si>
  <si>
    <t>cp</t>
  </si>
  <si>
    <t>nm</t>
  </si>
  <si>
    <t>nf</t>
  </si>
  <si>
    <t>elec</t>
  </si>
  <si>
    <t>petr</t>
  </si>
  <si>
    <t>hhd-0</t>
  </si>
  <si>
    <t>hhd-1</t>
  </si>
  <si>
    <t>hhd-2</t>
  </si>
  <si>
    <t>hhd-3</t>
  </si>
  <si>
    <t>hhd-4</t>
  </si>
  <si>
    <t>hhd-5</t>
  </si>
  <si>
    <t>hhd-6</t>
  </si>
  <si>
    <t>hhd-7</t>
  </si>
  <si>
    <t>hhd-8</t>
  </si>
  <si>
    <t>Set</t>
  </si>
  <si>
    <t>PAMS_TRA01</t>
  </si>
  <si>
    <t>PAMS_TRA02</t>
  </si>
  <si>
    <t>FTRA</t>
  </si>
  <si>
    <t>PTRA</t>
  </si>
  <si>
    <t>Household Income Group - Private Veh Ownership - High Income</t>
  </si>
  <si>
    <t>Household Income Group - Private Veh Ownership - Middle Income</t>
  </si>
  <si>
    <t>PAMS Reference</t>
  </si>
  <si>
    <t>sheet</t>
  </si>
  <si>
    <t>RMEWG</t>
  </si>
  <si>
    <t>MCDrivers!A180</t>
  </si>
  <si>
    <t>Non-metallic minerals</t>
  </si>
  <si>
    <t>Iron&amp;steel</t>
  </si>
  <si>
    <t>Non-ferrous</t>
  </si>
  <si>
    <t>Transport_pass</t>
  </si>
  <si>
    <t>Transport_Freight</t>
  </si>
  <si>
    <t>PAMS_TRA01C</t>
  </si>
  <si>
    <t>growth</t>
  </si>
  <si>
    <t>PAMS_TRA02C</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</si>
  <si>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</si>
  <si>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</si>
  <si>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</si>
  <si>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</si>
  <si>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</si>
  <si>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</si>
  <si>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</si>
  <si>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 xml:space="preserve">  1 PAM2</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</si>
  <si>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</si>
  <si>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</si>
  <si>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</si>
  <si>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</si>
  <si>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</si>
  <si>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</si>
  <si>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</si>
  <si>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</si>
  <si>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</si>
  <si>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</si>
  <si>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</si>
  <si>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</si>
  <si>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</si>
  <si>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</si>
  <si>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</si>
  <si>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</si>
  <si>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</si>
  <si>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</si>
  <si>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</si>
  <si>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</si>
  <si>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</si>
  <si>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</si>
  <si>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</si>
  <si>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</si>
  <si>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</si>
  <si>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</si>
  <si>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</si>
  <si>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</si>
  <si>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</si>
  <si>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</si>
  <si>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</si>
  <si>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</si>
  <si>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</si>
  <si>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</si>
  <si>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</si>
  <si>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</si>
  <si>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</si>
  <si>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</si>
  <si>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</si>
  <si>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</si>
  <si>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</si>
  <si>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</si>
  <si>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</si>
  <si>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</si>
  <si>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</si>
  <si>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</si>
  <si>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Trans.Public</t>
  </si>
  <si>
    <t>Trans.Freight</t>
  </si>
  <si>
    <t>Trans.Air</t>
  </si>
  <si>
    <t>Trans.Other</t>
  </si>
  <si>
    <t>Air Transport</t>
  </si>
  <si>
    <t>Transport Other</t>
  </si>
  <si>
    <t>hydr</t>
  </si>
  <si>
    <t>coal</t>
  </si>
  <si>
    <t>hhd-9</t>
  </si>
  <si>
    <t>MCDrivers!B120</t>
  </si>
  <si>
    <t>Split OtherTRA into International and Domestic Jet Fuel demand; Add new appropriate items</t>
  </si>
  <si>
    <t>OtherTRA</t>
  </si>
  <si>
    <t>fadiel</t>
  </si>
  <si>
    <t>TAIJET</t>
  </si>
  <si>
    <t>TADJET</t>
  </si>
  <si>
    <t>estimate this and 2012 are loaded into TCH_RES- but not linked</t>
  </si>
  <si>
    <t>TS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</si>
</sst>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_(* \(#,##0\);_(* &quot;-&quot;_);_(@_)"/>
    <numFmt numFmtId="43" formatCode="_(* #,##0.00_);_(* \(#,##0.00\);_(* &quot;-&quot;??_);_(@_)"/>
    <numFmt numFmtId="164" formatCode="_-* #,##0.00_-;\-* #,##0.00_-;_-* &quot;-&quot;??_-;_-@_-"/>
    <numFmt numFmtId="165" formatCode="_ * #,##0_ ;_ * \-#,##0_ ;_ * &quot;-&quot;_ ;_ @_ "/>
    <numFmt numFmtId="166" formatCode="_ * #,##0.00_ ;_ * \-#,##0.00_ ;_ * &quot;-&quot;??_ ;_ @_ "/>
    <numFmt numFmtId="167" formatCode="#,##0.00\ ;&quot; -&quot;#,##0.00\ ;&quot; -&quot;#\ ;@\ "/>
    <numFmt numFmtId="168" formatCode="[$-809]General"/>
    <numFmt numFmtId="169" formatCode="#,##0.00&quot; &quot;;&quot; -&quot;#,##0.00&quot; &quot;;&quot; -&quot;#&quot; &quot;;@&quot; &quot;"/>
    <numFmt numFmtId="170" formatCode="[$£-809]#,##0.00;[Red]&quot;-&quot;[$£-809]#,##0.00"/>
    <numFmt numFmtId="171" formatCode="0.0%"/>
    <numFmt numFmtId="172" formatCode="0.0"/>
    <numFmt numFmtId="173" formatCode="0.000"/>
    <numFmt numFmtId="174" formatCode="#,##0.0"/>
    <numFmt numFmtId="175" formatCode="_ * #,##0.0_ ;_ * \-#,##0.0_ ;_ * &quot;-&quot;??_ ;_ @_ "/>
    <numFmt numFmtId="176" formatCode="0.0000"/>
    <numFmt numFmtId="177" formatCode="0.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_);\(#,##0\);&quot;-&quot;"/>
    <numFmt numFmtId="186" formatCode="#,##0.0_);\(#,##0.0\);&quot;-&quot;;@"/>
    <numFmt numFmtId="187" formatCode="#,##0.000"/>
    <numFmt numFmtId="188" formatCode="0.00000000"/>
  </numFmts>
  <fonts count="167">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s>
  <borders count="62">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style="thin">
        <color rgb="FFB2B2B2"/>
      </left>
      <right style="thin">
        <color rgb="FFB2B2B2"/>
      </right>
      <top style="thin">
        <color rgb="FFB2B2B2"/>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0">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6" applyNumberFormat="0" applyAlignment="0" applyProtection="0"/>
    <xf numFmtId="167" fontId="4" fillId="0" borderId="0" applyFill="0" applyBorder="0" applyAlignment="0" applyProtection="0"/>
    <xf numFmtId="167" fontId="4" fillId="0" borderId="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0" fontId="5" fillId="0" borderId="0" applyNumberFormat="0">
      <alignment horizontal="right"/>
    </xf>
    <xf numFmtId="0" fontId="2" fillId="0" borderId="2"/>
    <xf numFmtId="168" fontId="20" fillId="0" borderId="0"/>
    <xf numFmtId="0" fontId="1" fillId="0" borderId="0"/>
    <xf numFmtId="169"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6" applyNumberFormat="0" applyAlignment="0" applyProtection="0"/>
    <xf numFmtId="0" fontId="28" fillId="6" borderId="6"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9"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0" fontId="33" fillId="0" borderId="0"/>
    <xf numFmtId="0" fontId="6" fillId="0" borderId="0"/>
    <xf numFmtId="0" fontId="16" fillId="0" borderId="0"/>
    <xf numFmtId="0" fontId="44" fillId="0" borderId="22" applyNumberFormat="0" applyFill="0" applyAlignment="0" applyProtection="0"/>
    <xf numFmtId="0" fontId="48" fillId="0" borderId="0"/>
    <xf numFmtId="0" fontId="50" fillId="0" borderId="22" applyNumberFormat="0" applyFill="0" applyAlignment="0" applyProtection="0"/>
    <xf numFmtId="179" fontId="51" fillId="0" borderId="0" applyFont="0" applyFill="0" applyBorder="0" applyAlignment="0" applyProtection="0"/>
    <xf numFmtId="0" fontId="16" fillId="0" borderId="0"/>
    <xf numFmtId="0" fontId="48" fillId="0" borderId="0"/>
    <xf numFmtId="0" fontId="2" fillId="39" borderId="27"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0"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7" fontId="2" fillId="59" borderId="28" applyNumberFormat="0" applyFont="0" applyAlignment="0"/>
    <xf numFmtId="177" fontId="2" fillId="60" borderId="29" applyNumberFormat="0" applyFont="0" applyAlignment="0"/>
    <xf numFmtId="177" fontId="2" fillId="60" borderId="29" applyNumberFormat="0" applyFont="0" applyAlignment="0"/>
    <xf numFmtId="177" fontId="2" fillId="60" borderId="29" applyNumberFormat="0" applyFont="0" applyAlignment="0"/>
    <xf numFmtId="177" fontId="2" fillId="60" borderId="29" applyNumberFormat="0" applyFont="0" applyAlignment="0"/>
    <xf numFmtId="177" fontId="2" fillId="60" borderId="29" applyNumberFormat="0" applyFont="0" applyAlignment="0"/>
    <xf numFmtId="180" fontId="17" fillId="4" borderId="0" applyNumberFormat="0" applyBorder="0" applyAlignment="0" applyProtection="0"/>
    <xf numFmtId="170" fontId="17" fillId="61" borderId="0" applyNumberFormat="0" applyBorder="0" applyAlignment="0" applyProtection="0"/>
    <xf numFmtId="170" fontId="60" fillId="62" borderId="0" applyNumberFormat="0" applyBorder="0" applyAlignment="0" applyProtection="0"/>
    <xf numFmtId="170" fontId="60" fillId="62" borderId="0" applyNumberFormat="0" applyBorder="0" applyAlignment="0" applyProtection="0"/>
    <xf numFmtId="170"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0" fontId="17" fillId="4" borderId="0" applyNumberFormat="0" applyBorder="0" applyAlignment="0" applyProtection="0"/>
    <xf numFmtId="170" fontId="60" fillId="41" borderId="0" applyNumberFormat="0" applyBorder="0" applyAlignment="0" applyProtection="0"/>
    <xf numFmtId="170" fontId="60" fillId="41" borderId="0" applyNumberFormat="0" applyBorder="0" applyAlignment="0" applyProtection="0"/>
    <xf numFmtId="170"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10" fillId="64" borderId="27"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170"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0" fontId="65" fillId="0" borderId="0" applyNumberFormat="0" applyFill="0" applyBorder="0" applyAlignment="0" applyProtection="0"/>
    <xf numFmtId="170" fontId="65" fillId="0" borderId="0" applyNumberFormat="0" applyFill="0" applyBorder="0" applyAlignment="0" applyProtection="0"/>
    <xf numFmtId="17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6" applyNumberFormat="0" applyAlignment="0" applyProtection="0"/>
    <xf numFmtId="0" fontId="66" fillId="65" borderId="31" applyNumberFormat="0" applyAlignment="0" applyProtection="0"/>
    <xf numFmtId="0" fontId="66" fillId="65" borderId="31" applyNumberFormat="0" applyAlignment="0" applyProtection="0"/>
    <xf numFmtId="0" fontId="66" fillId="65" borderId="31" applyNumberFormat="0" applyAlignment="0" applyProtection="0"/>
    <xf numFmtId="0" fontId="66" fillId="65" borderId="31" applyNumberFormat="0" applyAlignment="0" applyProtection="0"/>
    <xf numFmtId="0" fontId="67" fillId="65" borderId="31" applyNumberFormat="0" applyAlignment="0" applyProtection="0"/>
    <xf numFmtId="170" fontId="19" fillId="5" borderId="6" applyNumberFormat="0" applyAlignment="0" applyProtection="0"/>
    <xf numFmtId="170" fontId="66" fillId="65" borderId="31" applyNumberFormat="0" applyAlignment="0" applyProtection="0"/>
    <xf numFmtId="170" fontId="66" fillId="65" borderId="31" applyNumberFormat="0" applyAlignment="0" applyProtection="0"/>
    <xf numFmtId="170" fontId="66" fillId="65" borderId="31" applyNumberFormat="0" applyAlignment="0" applyProtection="0"/>
    <xf numFmtId="170" fontId="66" fillId="65" borderId="31" applyNumberFormat="0" applyAlignment="0" applyProtection="0"/>
    <xf numFmtId="170" fontId="67" fillId="65" borderId="31" applyNumberFormat="0" applyAlignment="0" applyProtection="0"/>
    <xf numFmtId="0" fontId="68" fillId="5" borderId="6"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70" fillId="13" borderId="25"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181" fontId="72" fillId="0" borderId="0"/>
    <xf numFmtId="181" fontId="72" fillId="0" borderId="0"/>
    <xf numFmtId="181" fontId="72" fillId="0" borderId="0"/>
    <xf numFmtId="181" fontId="72" fillId="0" borderId="0"/>
    <xf numFmtId="181" fontId="72" fillId="0" borderId="0"/>
    <xf numFmtId="181" fontId="72" fillId="0" borderId="0"/>
    <xf numFmtId="181" fontId="72" fillId="0" borderId="0"/>
    <xf numFmtId="181" fontId="72" fillId="0" borderId="0"/>
    <xf numFmtId="41" fontId="48"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82" fontId="48"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182" fontId="48"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2" fillId="0" borderId="0" applyFont="0" applyFill="0" applyBorder="0" applyAlignment="0" applyProtection="0"/>
    <xf numFmtId="167" fontId="4" fillId="0" borderId="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2" fillId="0" borderId="0" applyFont="0" applyFill="0" applyBorder="0" applyAlignment="0" applyProtection="0"/>
    <xf numFmtId="164" fontId="52" fillId="0" borderId="0" applyFont="0" applyFill="0" applyBorder="0" applyAlignment="0" applyProtection="0"/>
    <xf numFmtId="164" fontId="53" fillId="0" borderId="0" applyFont="0" applyFill="0" applyBorder="0" applyAlignment="0" applyProtection="0"/>
    <xf numFmtId="164" fontId="53" fillId="0" borderId="0" applyFont="0" applyFill="0" applyBorder="0" applyAlignment="0" applyProtection="0"/>
    <xf numFmtId="182" fontId="48"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164" fontId="53" fillId="0" borderId="0" applyFont="0" applyFill="0" applyBorder="0" applyAlignment="0" applyProtection="0"/>
    <xf numFmtId="164" fontId="5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4" fillId="0" borderId="0" applyFont="0" applyFill="0" applyBorder="0" applyAlignment="0" applyProtection="0">
      <alignment vertical="center"/>
    </xf>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75" fillId="0" borderId="0" applyFont="0" applyFill="0" applyBorder="0" applyAlignment="0" applyProtection="0"/>
    <xf numFmtId="43" fontId="2" fillId="0" borderId="0" applyFont="0" applyFill="0" applyBorder="0" applyAlignment="0" applyProtection="0"/>
    <xf numFmtId="43" fontId="75"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43"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4" fontId="2"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3" fontId="76"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4" fontId="2" fillId="0" borderId="0" applyFont="0" applyFill="0" applyBorder="0" applyAlignment="0" applyProtection="0"/>
    <xf numFmtId="170" fontId="76" fillId="0" borderId="0" applyFont="0" applyFill="0" applyBorder="0" applyAlignment="0" applyProtection="0"/>
    <xf numFmtId="0" fontId="1" fillId="0" borderId="0"/>
    <xf numFmtId="168" fontId="20" fillId="0" borderId="0"/>
    <xf numFmtId="168" fontId="77" fillId="0" borderId="0"/>
    <xf numFmtId="168" fontId="77" fillId="0" borderId="0"/>
    <xf numFmtId="168"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0" fontId="83" fillId="0" borderId="0">
      <protection locked="0"/>
    </xf>
    <xf numFmtId="170" fontId="83" fillId="0" borderId="0">
      <protection locked="0"/>
    </xf>
    <xf numFmtId="170" fontId="84" fillId="0" borderId="0">
      <protection locked="0"/>
    </xf>
    <xf numFmtId="170" fontId="83" fillId="0" borderId="0">
      <protection locked="0"/>
    </xf>
    <xf numFmtId="170" fontId="83" fillId="0" borderId="0">
      <protection locked="0"/>
    </xf>
    <xf numFmtId="170" fontId="83" fillId="0" borderId="0">
      <protection locked="0"/>
    </xf>
    <xf numFmtId="170"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0"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0" fontId="86" fillId="68" borderId="0" applyNumberFormat="0" applyBorder="0" applyAlignment="0" applyProtection="0"/>
    <xf numFmtId="170" fontId="86" fillId="68" borderId="0" applyNumberFormat="0" applyBorder="0" applyAlignment="0" applyProtection="0"/>
    <xf numFmtId="170"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0" fontId="90" fillId="0" borderId="33" applyNumberFormat="0" applyAlignment="0" applyProtection="0">
      <alignment horizontal="left" vertical="center"/>
    </xf>
    <xf numFmtId="170" fontId="90" fillId="0" borderId="33" applyNumberFormat="0" applyAlignment="0" applyProtection="0">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0" fontId="44" fillId="0" borderId="22" applyNumberFormat="0" applyFill="0" applyAlignment="0" applyProtection="0"/>
    <xf numFmtId="170" fontId="91" fillId="0" borderId="35" applyNumberFormat="0" applyFill="0" applyAlignment="0" applyProtection="0"/>
    <xf numFmtId="0" fontId="91"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5" applyNumberFormat="0" applyFill="0" applyAlignment="0" applyProtection="0"/>
    <xf numFmtId="170" fontId="92" fillId="0" borderId="35" applyNumberFormat="0" applyFill="0" applyAlignment="0" applyProtection="0"/>
    <xf numFmtId="170" fontId="92"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70" fontId="93" fillId="0" borderId="35" applyNumberFormat="0" applyFill="0" applyAlignment="0" applyProtection="0"/>
    <xf numFmtId="170" fontId="44" fillId="0" borderId="22"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5" applyNumberFormat="0" applyFill="0" applyAlignment="0" applyProtection="0"/>
    <xf numFmtId="170" fontId="92" fillId="0" borderId="35" applyNumberFormat="0" applyFill="0" applyAlignment="0" applyProtection="0"/>
    <xf numFmtId="170" fontId="92" fillId="0" borderId="35" applyNumberFormat="0" applyFill="0" applyAlignment="0" applyProtection="0"/>
    <xf numFmtId="170" fontId="93"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44" fillId="0" borderId="22" applyNumberFormat="0" applyFill="0" applyAlignment="0" applyProtection="0"/>
    <xf numFmtId="0" fontId="44" fillId="0" borderId="22" applyNumberFormat="0" applyFill="0" applyAlignment="0" applyProtection="0"/>
    <xf numFmtId="0" fontId="44" fillId="0" borderId="22" applyNumberFormat="0" applyFill="0" applyAlignment="0" applyProtection="0"/>
    <xf numFmtId="0" fontId="25" fillId="0" borderId="7" applyNumberFormat="0" applyFill="0" applyAlignment="0" applyProtection="0"/>
    <xf numFmtId="0" fontId="95" fillId="0" borderId="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0" fontId="97" fillId="0" borderId="36" applyNumberFormat="0" applyFill="0" applyAlignment="0" applyProtection="0"/>
    <xf numFmtId="170" fontId="25" fillId="0" borderId="7" applyNumberFormat="0" applyFill="0" applyAlignment="0" applyProtection="0"/>
    <xf numFmtId="170" fontId="96" fillId="0" borderId="36" applyNumberFormat="0" applyFill="0" applyAlignment="0" applyProtection="0"/>
    <xf numFmtId="170" fontId="96" fillId="0" borderId="36" applyNumberFormat="0" applyFill="0" applyAlignment="0" applyProtection="0"/>
    <xf numFmtId="170" fontId="97" fillId="0" borderId="36" applyNumberFormat="0" applyFill="0" applyAlignment="0" applyProtection="0"/>
    <xf numFmtId="0" fontId="98" fillId="0" borderId="7"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2" fillId="0" borderId="37" applyNumberFormat="0" applyFill="0" applyAlignment="0" applyProtection="0"/>
    <xf numFmtId="0" fontId="12" fillId="0" borderId="37" applyNumberFormat="0" applyFill="0" applyAlignment="0" applyProtection="0"/>
    <xf numFmtId="0" fontId="100" fillId="0" borderId="37" applyNumberFormat="0" applyFill="0" applyAlignment="0" applyProtection="0"/>
    <xf numFmtId="170" fontId="26" fillId="0" borderId="8" applyNumberFormat="0" applyFill="0" applyAlignment="0" applyProtection="0"/>
    <xf numFmtId="170" fontId="12" fillId="0" borderId="37" applyNumberFormat="0" applyFill="0" applyAlignment="0" applyProtection="0"/>
    <xf numFmtId="170" fontId="12" fillId="0" borderId="37" applyNumberFormat="0" applyFill="0" applyAlignment="0" applyProtection="0"/>
    <xf numFmtId="170" fontId="100" fillId="0" borderId="37" applyNumberFormat="0" applyFill="0" applyAlignment="0" applyProtection="0"/>
    <xf numFmtId="0" fontId="101" fillId="0" borderId="8"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0"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0" fontId="28" fillId="6" borderId="6" applyNumberFormat="0" applyAlignment="0" applyProtection="0"/>
    <xf numFmtId="170" fontId="28" fillId="69" borderId="6" applyNumberFormat="0" applyAlignment="0" applyProtection="0"/>
    <xf numFmtId="170" fontId="113" fillId="46" borderId="31" applyNumberFormat="0" applyAlignment="0" applyProtection="0"/>
    <xf numFmtId="170" fontId="113" fillId="46" borderId="31" applyNumberFormat="0" applyAlignment="0" applyProtection="0"/>
    <xf numFmtId="170" fontId="113" fillId="46" borderId="31" applyNumberFormat="0" applyAlignment="0" applyProtection="0"/>
    <xf numFmtId="170" fontId="113" fillId="46" borderId="31" applyNumberFormat="0" applyAlignment="0" applyProtection="0"/>
    <xf numFmtId="170" fontId="114" fillId="46" borderId="31" applyNumberFormat="0" applyAlignment="0" applyProtection="0"/>
    <xf numFmtId="0" fontId="28" fillId="6" borderId="6"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4"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180" fontId="28" fillId="6" borderId="6" applyNumberFormat="0" applyAlignment="0" applyProtection="0"/>
    <xf numFmtId="180" fontId="28" fillId="6" borderId="6" applyNumberFormat="0" applyAlignment="0" applyProtection="0"/>
    <xf numFmtId="180" fontId="28" fillId="6" borderId="6" applyNumberFormat="0" applyAlignment="0" applyProtection="0"/>
    <xf numFmtId="180" fontId="28" fillId="6" borderId="6" applyNumberFormat="0" applyAlignment="0" applyProtection="0"/>
    <xf numFmtId="0" fontId="114" fillId="45" borderId="31" applyNumberFormat="0" applyAlignment="0" applyProtection="0"/>
    <xf numFmtId="170" fontId="28" fillId="6" borderId="6" applyNumberFormat="0" applyAlignment="0" applyProtection="0"/>
    <xf numFmtId="0" fontId="28" fillId="6" borderId="6" applyNumberFormat="0" applyAlignment="0" applyProtection="0"/>
    <xf numFmtId="170" fontId="113" fillId="45" borderId="31" applyNumberFormat="0" applyAlignment="0" applyProtection="0"/>
    <xf numFmtId="170" fontId="113" fillId="45" borderId="31" applyNumberFormat="0" applyAlignment="0" applyProtection="0"/>
    <xf numFmtId="170" fontId="113" fillId="45" borderId="31" applyNumberFormat="0" applyAlignment="0" applyProtection="0"/>
    <xf numFmtId="170" fontId="113" fillId="45" borderId="31"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170" fontId="114" fillId="45" borderId="31" applyNumberFormat="0" applyAlignment="0" applyProtection="0"/>
    <xf numFmtId="0" fontId="115" fillId="6" borderId="6"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2" fillId="70" borderId="38" applyNumberFormat="0" applyFont="0" applyAlignment="0"/>
    <xf numFmtId="0" fontId="2" fillId="71" borderId="38"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185" fontId="2" fillId="49" borderId="0" applyNumberFormat="0" applyFont="0" applyBorder="0" applyAlignment="0" applyProtection="0"/>
    <xf numFmtId="170"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0" fontId="117" fillId="0" borderId="0" applyNumberFormat="0" applyFill="0" applyBorder="0" applyAlignment="0" applyProtection="0"/>
    <xf numFmtId="170" fontId="117" fillId="0" borderId="0" applyNumberFormat="0" applyFill="0" applyBorder="0" applyAlignment="0" applyProtection="0"/>
    <xf numFmtId="17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4"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0" fontId="30" fillId="7" borderId="0" applyNumberFormat="0" applyBorder="0" applyAlignment="0" applyProtection="0"/>
    <xf numFmtId="170" fontId="120" fillId="73" borderId="0" applyNumberFormat="0" applyBorder="0" applyAlignment="0" applyProtection="0"/>
    <xf numFmtId="170" fontId="120" fillId="73" borderId="0" applyNumberFormat="0" applyBorder="0" applyAlignment="0" applyProtection="0"/>
    <xf numFmtId="170"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8"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0"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0" fontId="2" fillId="0" borderId="0"/>
    <xf numFmtId="180" fontId="2" fillId="0" borderId="0"/>
    <xf numFmtId="180" fontId="2" fillId="0" borderId="0"/>
    <xf numFmtId="180"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0" fontId="2" fillId="0" borderId="0"/>
    <xf numFmtId="0" fontId="126" fillId="0" borderId="0"/>
    <xf numFmtId="0" fontId="126" fillId="0" borderId="0"/>
    <xf numFmtId="0" fontId="126" fillId="0" borderId="0"/>
    <xf numFmtId="0" fontId="1" fillId="0" borderId="0"/>
    <xf numFmtId="0" fontId="127" fillId="0" borderId="0">
      <alignment vertical="center"/>
    </xf>
    <xf numFmtId="170" fontId="127" fillId="0" borderId="0">
      <alignment vertical="center"/>
    </xf>
    <xf numFmtId="170" fontId="2" fillId="0" borderId="0"/>
    <xf numFmtId="0" fontId="31" fillId="0" borderId="0"/>
    <xf numFmtId="0" fontId="31" fillId="0" borderId="0"/>
    <xf numFmtId="17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0"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0" fontId="16" fillId="0" borderId="0"/>
    <xf numFmtId="18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0" fontId="48" fillId="0" borderId="0"/>
    <xf numFmtId="0" fontId="16" fillId="0" borderId="0"/>
    <xf numFmtId="0" fontId="16" fillId="0" borderId="0"/>
    <xf numFmtId="0" fontId="16" fillId="0" borderId="0"/>
    <xf numFmtId="0" fontId="16" fillId="0" borderId="0"/>
    <xf numFmtId="0" fontId="16" fillId="0" borderId="0"/>
    <xf numFmtId="180"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0" fontId="16" fillId="0" borderId="0"/>
    <xf numFmtId="170"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0" fontId="16" fillId="0" borderId="0"/>
    <xf numFmtId="180"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0" fontId="16" fillId="0" borderId="0"/>
    <xf numFmtId="180" fontId="16" fillId="0" borderId="0"/>
    <xf numFmtId="180" fontId="16" fillId="0" borderId="0"/>
    <xf numFmtId="0" fontId="53" fillId="0" borderId="0"/>
    <xf numFmtId="17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0" fontId="16" fillId="0" borderId="0"/>
    <xf numFmtId="170" fontId="16" fillId="0" borderId="0"/>
    <xf numFmtId="17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0"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54" fillId="0" borderId="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75" fillId="74" borderId="41"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54" fillId="74" borderId="41" applyNumberFormat="0" applyFont="0" applyAlignment="0" applyProtection="0"/>
    <xf numFmtId="0" fontId="16" fillId="8" borderId="9" applyNumberFormat="0" applyFont="0" applyAlignment="0" applyProtection="0"/>
    <xf numFmtId="0" fontId="52" fillId="8" borderId="9" applyNumberFormat="0" applyFont="0" applyAlignment="0" applyProtection="0"/>
    <xf numFmtId="0" fontId="2" fillId="8" borderId="9"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1" fillId="8" borderId="9"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75" fillId="74" borderId="41"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186" fontId="131" fillId="0" borderId="0" applyNumberFormat="0" applyFill="0" applyBorder="0" applyAlignment="0" applyProtection="0"/>
    <xf numFmtId="0" fontId="132" fillId="0" borderId="0" applyNumberFormat="0" applyFill="0" applyBorder="0" applyAlignment="0" applyProtection="0">
      <alignment vertical="center"/>
    </xf>
    <xf numFmtId="170" fontId="132" fillId="0" borderId="0" applyNumberFormat="0" applyFill="0" applyBorder="0" applyAlignment="0" applyProtection="0">
      <alignment vertical="center"/>
    </xf>
    <xf numFmtId="186" fontId="133" fillId="0" borderId="0" applyNumberFormat="0" applyFill="0" applyBorder="0" applyAlignment="0" applyProtection="0"/>
    <xf numFmtId="186" fontId="133" fillId="0" borderId="0" applyNumberFormat="0" applyFill="0" applyBorder="0" applyAlignment="0" applyProtection="0"/>
    <xf numFmtId="186" fontId="134" fillId="0" borderId="0" applyNumberFormat="0" applyFill="0" applyBorder="0" applyAlignment="0" applyProtection="0"/>
    <xf numFmtId="170" fontId="46" fillId="5" borderId="23" applyNumberFormat="0" applyAlignment="0" applyProtection="0"/>
    <xf numFmtId="0" fontId="46" fillId="5" borderId="23" applyNumberFormat="0" applyAlignment="0" applyProtection="0"/>
    <xf numFmtId="0" fontId="135" fillId="65" borderId="42" applyNumberFormat="0" applyAlignment="0" applyProtection="0"/>
    <xf numFmtId="0" fontId="135" fillId="65" borderId="42" applyNumberFormat="0" applyAlignment="0" applyProtection="0"/>
    <xf numFmtId="0" fontId="135" fillId="65" borderId="42" applyNumberFormat="0" applyAlignment="0" applyProtection="0"/>
    <xf numFmtId="0" fontId="135" fillId="65" borderId="42" applyNumberFormat="0" applyAlignment="0" applyProtection="0"/>
    <xf numFmtId="0" fontId="136" fillId="65" borderId="42" applyNumberFormat="0" applyAlignment="0" applyProtection="0"/>
    <xf numFmtId="170" fontId="135" fillId="65" borderId="42" applyNumberFormat="0" applyAlignment="0" applyProtection="0"/>
    <xf numFmtId="170" fontId="135" fillId="65" borderId="42" applyNumberFormat="0" applyAlignment="0" applyProtection="0"/>
    <xf numFmtId="170" fontId="135" fillId="65" borderId="42" applyNumberFormat="0" applyAlignment="0" applyProtection="0"/>
    <xf numFmtId="170" fontId="135" fillId="65" borderId="42" applyNumberFormat="0" applyAlignment="0" applyProtection="0"/>
    <xf numFmtId="170" fontId="136" fillId="65" borderId="42" applyNumberFormat="0" applyAlignment="0" applyProtection="0"/>
    <xf numFmtId="0" fontId="137" fillId="5" borderId="23"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139" fillId="0" borderId="0" applyFont="0" applyFill="0" applyBorder="0" applyAlignment="0" applyProtection="0"/>
    <xf numFmtId="179"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79" fontId="74" fillId="0" borderId="0" applyFont="0" applyFill="0" applyBorder="0" applyAlignment="0" applyProtection="0">
      <alignment vertical="center"/>
    </xf>
    <xf numFmtId="179" fontId="139" fillId="0" borderId="0" applyFont="0" applyFill="0" applyBorder="0" applyAlignment="0" applyProtection="0"/>
    <xf numFmtId="179" fontId="139" fillId="0" borderId="0" applyFont="0" applyFill="0" applyBorder="0" applyAlignment="0" applyProtection="0"/>
    <xf numFmtId="179"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0" fontId="140" fillId="0" borderId="0"/>
    <xf numFmtId="170" fontId="140" fillId="0" borderId="0"/>
    <xf numFmtId="170" fontId="140" fillId="0" borderId="0"/>
    <xf numFmtId="170"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3" applyNumberFormat="0">
      <alignment horizontal="left" vertical="center"/>
    </xf>
    <xf numFmtId="0" fontId="144" fillId="0" borderId="0" applyNumberFormat="0" applyFill="0" applyBorder="0" applyAlignment="0" applyProtection="0">
      <alignment vertical="center"/>
    </xf>
    <xf numFmtId="0" fontId="145" fillId="0" borderId="26"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170"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0" fontId="150" fillId="0" borderId="0">
      <alignment vertical="center"/>
    </xf>
    <xf numFmtId="170" fontId="151" fillId="0" borderId="0"/>
    <xf numFmtId="166"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6" fontId="2" fillId="0" borderId="0" applyFont="0" applyFill="0" applyBorder="0" applyAlignment="0" applyProtection="0"/>
    <xf numFmtId="177" fontId="2" fillId="60" borderId="54" applyNumberFormat="0" applyFont="0" applyAlignment="0"/>
    <xf numFmtId="177" fontId="2" fillId="60" borderId="54" applyNumberFormat="0" applyFont="0" applyAlignment="0"/>
    <xf numFmtId="177" fontId="2" fillId="60" borderId="54" applyNumberFormat="0" applyFont="0" applyAlignment="0"/>
    <xf numFmtId="0" fontId="2" fillId="63" borderId="55" applyNumberFormat="0" applyFont="0" applyAlignment="0"/>
    <xf numFmtId="0" fontId="2" fillId="63" borderId="55" applyNumberFormat="0" applyFont="0" applyAlignment="0"/>
    <xf numFmtId="0" fontId="2" fillId="63" borderId="55" applyNumberFormat="0" applyFont="0" applyAlignment="0"/>
    <xf numFmtId="0" fontId="10" fillId="63" borderId="55" applyNumberFormat="0" applyFont="0" applyAlignment="0"/>
    <xf numFmtId="0" fontId="10" fillId="63" borderId="55" applyNumberFormat="0" applyFont="0" applyAlignment="0"/>
    <xf numFmtId="0" fontId="10" fillId="63" borderId="55" applyNumberFormat="0" applyFont="0" applyAlignment="0"/>
    <xf numFmtId="0" fontId="66" fillId="65" borderId="56" applyNumberFormat="0" applyAlignment="0" applyProtection="0"/>
    <xf numFmtId="0" fontId="66" fillId="65" borderId="56" applyNumberFormat="0" applyAlignment="0" applyProtection="0"/>
    <xf numFmtId="0" fontId="66" fillId="65" borderId="56" applyNumberFormat="0" applyAlignment="0" applyProtection="0"/>
    <xf numFmtId="170" fontId="66" fillId="65" borderId="56" applyNumberFormat="0" applyAlignment="0" applyProtection="0"/>
    <xf numFmtId="170" fontId="66" fillId="65" borderId="56" applyNumberFormat="0" applyAlignment="0" applyProtection="0"/>
    <xf numFmtId="170" fontId="66"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165" fontId="48" fillId="0" borderId="0" applyFont="0" applyFill="0" applyBorder="0" applyAlignment="0" applyProtection="0"/>
    <xf numFmtId="165" fontId="73" fillId="0" borderId="0" applyFont="0" applyFill="0" applyBorder="0" applyAlignment="0" applyProtection="0"/>
    <xf numFmtId="165" fontId="73"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2"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75" fillId="0" borderId="0" applyFont="0" applyFill="0" applyBorder="0" applyAlignment="0" applyProtection="0"/>
    <xf numFmtId="166" fontId="2" fillId="0" borderId="0" applyFont="0" applyFill="0" applyBorder="0" applyAlignment="0" applyProtection="0"/>
    <xf numFmtId="166" fontId="75"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170" fontId="113" fillId="45" borderId="53" applyNumberFormat="0" applyAlignment="0" applyProtection="0"/>
    <xf numFmtId="170" fontId="113" fillId="45" borderId="53" applyNumberFormat="0" applyAlignment="0" applyProtection="0"/>
    <xf numFmtId="17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170" fontId="113" fillId="46" borderId="53" applyNumberFormat="0" applyAlignment="0" applyProtection="0"/>
    <xf numFmtId="170" fontId="113" fillId="46" borderId="53" applyNumberFormat="0" applyAlignment="0" applyProtection="0"/>
    <xf numFmtId="170" fontId="113" fillId="46" borderId="53" applyNumberFormat="0" applyAlignment="0" applyProtection="0"/>
    <xf numFmtId="170" fontId="113" fillId="46" borderId="56" applyNumberFormat="0" applyAlignment="0" applyProtection="0"/>
    <xf numFmtId="170" fontId="113" fillId="46" borderId="56" applyNumberFormat="0" applyAlignment="0" applyProtection="0"/>
    <xf numFmtId="170" fontId="113" fillId="46"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170" fontId="113" fillId="45" borderId="56" applyNumberFormat="0" applyAlignment="0" applyProtection="0"/>
    <xf numFmtId="170" fontId="113" fillId="45" borderId="56" applyNumberFormat="0" applyAlignment="0" applyProtection="0"/>
    <xf numFmtId="170" fontId="113"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2" fillId="72" borderId="57" applyNumberFormat="0" applyFont="0" applyAlignment="0"/>
    <xf numFmtId="0" fontId="2" fillId="72" borderId="57" applyNumberFormat="0" applyFont="0" applyAlignment="0"/>
    <xf numFmtId="0" fontId="2" fillId="72" borderId="57" applyNumberFormat="0" applyFont="0" applyAlignment="0"/>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0" fontId="2" fillId="74" borderId="58" applyNumberFormat="0" applyFont="0" applyAlignment="0" applyProtection="0"/>
    <xf numFmtId="0" fontId="2" fillId="74" borderId="58" applyNumberFormat="0" applyFont="0" applyAlignment="0" applyProtection="0"/>
    <xf numFmtId="0" fontId="2" fillId="74" borderId="58" applyNumberFormat="0" applyFont="0" applyAlignment="0" applyProtection="0"/>
    <xf numFmtId="0" fontId="1" fillId="74" borderId="58" applyNumberFormat="0" applyFont="0" applyAlignment="0" applyProtection="0"/>
    <xf numFmtId="0" fontId="1" fillId="74" borderId="58" applyNumberFormat="0" applyFont="0" applyAlignment="0" applyProtection="0"/>
    <xf numFmtId="0" fontId="1"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135" fillId="65" borderId="59" applyNumberFormat="0" applyAlignment="0" applyProtection="0"/>
    <xf numFmtId="0" fontId="135" fillId="65" borderId="59" applyNumberFormat="0" applyAlignment="0" applyProtection="0"/>
    <xf numFmtId="0" fontId="135" fillId="65" borderId="59" applyNumberFormat="0" applyAlignment="0" applyProtection="0"/>
    <xf numFmtId="170" fontId="135" fillId="65" borderId="59" applyNumberFormat="0" applyAlignment="0" applyProtection="0"/>
    <xf numFmtId="170" fontId="135" fillId="65" borderId="59" applyNumberFormat="0" applyAlignment="0" applyProtection="0"/>
    <xf numFmtId="170" fontId="135"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170" fontId="66" fillId="65" borderId="53" applyNumberFormat="0" applyAlignment="0" applyProtection="0"/>
    <xf numFmtId="170" fontId="66" fillId="65" borderId="53" applyNumberFormat="0" applyAlignment="0" applyProtection="0"/>
    <xf numFmtId="170" fontId="66" fillId="65" borderId="53" applyNumberFormat="0" applyAlignment="0" applyProtection="0"/>
    <xf numFmtId="0" fontId="66" fillId="65" borderId="53" applyNumberFormat="0" applyAlignment="0" applyProtection="0"/>
    <xf numFmtId="0" fontId="66" fillId="65" borderId="53" applyNumberFormat="0" applyAlignment="0" applyProtection="0"/>
    <xf numFmtId="0" fontId="66" fillId="65" borderId="53" applyNumberFormat="0" applyAlignment="0" applyProtection="0"/>
    <xf numFmtId="0" fontId="10" fillId="63" borderId="52" applyNumberFormat="0" applyFont="0" applyAlignment="0"/>
    <xf numFmtId="0" fontId="10" fillId="63" borderId="52" applyNumberFormat="0" applyFont="0" applyAlignment="0"/>
    <xf numFmtId="0" fontId="10" fillId="63" borderId="52" applyNumberFormat="0" applyFont="0" applyAlignment="0"/>
    <xf numFmtId="0" fontId="2" fillId="63" borderId="52" applyNumberFormat="0" applyFont="0" applyAlignment="0"/>
    <xf numFmtId="0" fontId="2" fillId="63" borderId="52" applyNumberFormat="0" applyFont="0" applyAlignment="0"/>
    <xf numFmtId="0" fontId="2" fillId="63" borderId="52" applyNumberFormat="0" applyFont="0" applyAlignment="0"/>
    <xf numFmtId="177" fontId="2" fillId="60" borderId="51" applyNumberFormat="0" applyFont="0" applyAlignment="0"/>
    <xf numFmtId="177" fontId="2" fillId="60" borderId="51" applyNumberFormat="0" applyFont="0" applyAlignment="0"/>
    <xf numFmtId="177" fontId="2" fillId="60" borderId="51" applyNumberFormat="0" applyFont="0" applyAlignment="0"/>
    <xf numFmtId="166" fontId="16" fillId="0" borderId="0" applyFont="0" applyFill="0" applyBorder="0" applyAlignment="0" applyProtection="0"/>
    <xf numFmtId="166" fontId="16" fillId="0" borderId="0" applyFont="0" applyFill="0" applyBorder="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166"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6" fontId="51" fillId="0" borderId="0" applyFont="0" applyFill="0" applyBorder="0" applyAlignment="0" applyProtection="0"/>
    <xf numFmtId="0" fontId="32" fillId="0" borderId="0"/>
    <xf numFmtId="0" fontId="164" fillId="0" borderId="0"/>
  </cellStyleXfs>
  <cellXfs count="301">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2" fontId="0" fillId="0" borderId="0" xfId="0" applyNumberFormat="1"/>
    <xf numFmtId="3" fontId="0" fillId="0" borderId="0" xfId="0" applyNumberFormat="1"/>
    <xf numFmtId="0" fontId="17" fillId="4" borderId="0" xfId="3"/>
    <xf numFmtId="2" fontId="0" fillId="0" borderId="0" xfId="0" applyNumberFormat="1" applyBorder="1"/>
    <xf numFmtId="0" fontId="26" fillId="0" borderId="8"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8"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3"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6"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1" fontId="0" fillId="0" borderId="0" xfId="0" applyNumberFormat="1"/>
    <xf numFmtId="9" fontId="28" fillId="6" borderId="6" xfId="27" applyNumberFormat="1"/>
    <xf numFmtId="0" fontId="0" fillId="0" borderId="0" xfId="0" quotePrefix="1"/>
    <xf numFmtId="174" fontId="0" fillId="0" borderId="0" xfId="0" applyNumberFormat="1"/>
    <xf numFmtId="0" fontId="25" fillId="0" borderId="7" xfId="20"/>
    <xf numFmtId="0" fontId="26" fillId="0" borderId="0" xfId="23"/>
    <xf numFmtId="11" fontId="0" fillId="0" borderId="4" xfId="0" applyNumberFormat="1" applyBorder="1"/>
    <xf numFmtId="0" fontId="0" fillId="0" borderId="4" xfId="0" applyBorder="1"/>
    <xf numFmtId="166" fontId="2" fillId="0" borderId="4" xfId="11" applyNumberFormat="1" applyFill="1" applyBorder="1"/>
    <xf numFmtId="2" fontId="0" fillId="0" borderId="4" xfId="0" applyNumberFormat="1" applyBorder="1"/>
    <xf numFmtId="172" fontId="0" fillId="0" borderId="4" xfId="0" applyNumberFormat="1" applyBorder="1"/>
    <xf numFmtId="0" fontId="10" fillId="0" borderId="0" xfId="33" applyFont="1" applyFill="1"/>
    <xf numFmtId="2" fontId="10" fillId="0" borderId="0" xfId="33" applyNumberFormat="1" applyFont="1" applyFill="1"/>
    <xf numFmtId="2" fontId="28" fillId="6" borderId="6" xfId="27" applyNumberFormat="1"/>
    <xf numFmtId="0" fontId="28" fillId="6" borderId="6" xfId="27"/>
    <xf numFmtId="172" fontId="34" fillId="0" borderId="0" xfId="0" applyNumberFormat="1" applyFont="1"/>
    <xf numFmtId="171" fontId="28" fillId="6" borderId="6" xfId="27" applyNumberFormat="1"/>
    <xf numFmtId="2" fontId="28" fillId="8" borderId="9" xfId="44" applyNumberFormat="1" applyFont="1"/>
    <xf numFmtId="172" fontId="19" fillId="5" borderId="6" xfId="6" applyNumberFormat="1"/>
    <xf numFmtId="2" fontId="19" fillId="5" borderId="6" xfId="6" applyNumberFormat="1"/>
    <xf numFmtId="174"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8" xfId="21" applyAlignment="1"/>
    <xf numFmtId="2" fontId="38" fillId="0" borderId="0" xfId="0" applyNumberFormat="1" applyFont="1"/>
    <xf numFmtId="2" fontId="16" fillId="8" borderId="9" xfId="44" applyNumberFormat="1" applyFont="1"/>
    <xf numFmtId="171" fontId="16" fillId="0" borderId="0" xfId="45" applyNumberFormat="1" applyFont="1"/>
    <xf numFmtId="1" fontId="28" fillId="6" borderId="6" xfId="27" applyNumberFormat="1"/>
    <xf numFmtId="2" fontId="28" fillId="0" borderId="6" xfId="27" applyNumberFormat="1" applyFill="1"/>
    <xf numFmtId="9" fontId="28" fillId="0" borderId="6" xfId="27" applyNumberFormat="1" applyFill="1"/>
    <xf numFmtId="9" fontId="16" fillId="0" borderId="4" xfId="45" applyNumberFormat="1" applyFont="1" applyBorder="1"/>
    <xf numFmtId="172" fontId="0" fillId="0" borderId="0" xfId="0" applyNumberFormat="1" applyBorder="1"/>
    <xf numFmtId="0" fontId="26" fillId="0" borderId="8" xfId="21" applyAlignment="1">
      <alignment horizontal="left"/>
    </xf>
    <xf numFmtId="0" fontId="25" fillId="0" borderId="7" xfId="20" applyAlignment="1">
      <alignment horizontal="left"/>
    </xf>
    <xf numFmtId="9" fontId="16" fillId="0" borderId="0" xfId="45" applyFont="1"/>
    <xf numFmtId="1" fontId="28" fillId="8" borderId="9" xfId="44" applyNumberFormat="1" applyFont="1"/>
    <xf numFmtId="9" fontId="28" fillId="8" borderId="9" xfId="45" applyFont="1" applyFill="1" applyBorder="1"/>
    <xf numFmtId="9" fontId="28" fillId="6" borderId="6" xfId="45" applyFont="1" applyFill="1" applyBorder="1"/>
    <xf numFmtId="0" fontId="26" fillId="0" borderId="0" xfId="21" applyBorder="1" applyAlignment="1">
      <alignment horizontal="left"/>
    </xf>
    <xf numFmtId="173" fontId="28" fillId="8" borderId="9" xfId="44" applyNumberFormat="1" applyFont="1"/>
    <xf numFmtId="9" fontId="35" fillId="6" borderId="6" xfId="27" applyNumberFormat="1" applyFont="1"/>
    <xf numFmtId="2" fontId="35" fillId="6" borderId="6" xfId="27" applyNumberFormat="1" applyFont="1"/>
    <xf numFmtId="171" fontId="35" fillId="6" borderId="6" xfId="27" applyNumberFormat="1" applyFont="1"/>
    <xf numFmtId="172" fontId="28" fillId="0" borderId="6" xfId="27" applyNumberFormat="1" applyFill="1"/>
    <xf numFmtId="1" fontId="28" fillId="0" borderId="6" xfId="27" applyNumberFormat="1" applyFill="1"/>
    <xf numFmtId="0" fontId="0" fillId="0" borderId="0" xfId="0" applyFill="1"/>
    <xf numFmtId="0" fontId="35" fillId="6" borderId="6" xfId="27" applyFont="1"/>
    <xf numFmtId="9" fontId="35" fillId="6" borderId="6" xfId="45" applyFont="1" applyFill="1" applyBorder="1"/>
    <xf numFmtId="172" fontId="35" fillId="6" borderId="6" xfId="27" applyNumberFormat="1" applyFont="1"/>
    <xf numFmtId="2" fontId="41" fillId="0" borderId="6" xfId="27" applyNumberFormat="1" applyFont="1" applyFill="1"/>
    <xf numFmtId="1" fontId="34" fillId="0" borderId="0" xfId="0" applyNumberFormat="1" applyFont="1"/>
    <xf numFmtId="0" fontId="26" fillId="0" borderId="8"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8" xfId="22" applyAlignment="1">
      <alignment horizontal="left"/>
    </xf>
    <xf numFmtId="0" fontId="26" fillId="0" borderId="8"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0" borderId="4" xfId="31" applyFont="1" applyFill="1" applyBorder="1"/>
    <xf numFmtId="0" fontId="16" fillId="0" borderId="0" xfId="31" applyFont="1"/>
    <xf numFmtId="0" fontId="16" fillId="11" borderId="0" xfId="31" applyFill="1"/>
    <xf numFmtId="9" fontId="16" fillId="11" borderId="0" xfId="31" applyNumberFormat="1" applyFill="1"/>
    <xf numFmtId="172" fontId="16" fillId="0" borderId="0" xfId="31" applyNumberFormat="1"/>
    <xf numFmtId="1" fontId="16" fillId="0" borderId="4" xfId="31" applyNumberFormat="1" applyBorder="1"/>
    <xf numFmtId="1" fontId="16" fillId="0" borderId="0" xfId="31" applyNumberFormat="1"/>
    <xf numFmtId="0" fontId="16" fillId="0" borderId="10" xfId="31" applyBorder="1"/>
    <xf numFmtId="0" fontId="16" fillId="0" borderId="10" xfId="31" applyFill="1" applyBorder="1"/>
    <xf numFmtId="172" fontId="16" fillId="0" borderId="4" xfId="31" applyNumberFormat="1" applyBorder="1"/>
    <xf numFmtId="2" fontId="28" fillId="11" borderId="6" xfId="28" applyNumberFormat="1" applyFill="1"/>
    <xf numFmtId="0" fontId="16" fillId="10" borderId="0" xfId="31" applyFont="1" applyFill="1"/>
    <xf numFmtId="2" fontId="16" fillId="10" borderId="0" xfId="31" applyNumberFormat="1" applyFill="1"/>
    <xf numFmtId="2" fontId="16" fillId="10" borderId="4" xfId="31" applyNumberFormat="1" applyFill="1" applyBorder="1"/>
    <xf numFmtId="2" fontId="16" fillId="0" borderId="0" xfId="31" applyNumberFormat="1" applyBorder="1"/>
    <xf numFmtId="3" fontId="16" fillId="0" borderId="0" xfId="31" applyNumberFormat="1"/>
    <xf numFmtId="0" fontId="42" fillId="0" borderId="8" xfId="22" applyFont="1" applyAlignment="1">
      <alignment horizontal="left"/>
    </xf>
    <xf numFmtId="0" fontId="16" fillId="0" borderId="0" xfId="31" applyBorder="1"/>
    <xf numFmtId="0" fontId="16" fillId="0" borderId="0" xfId="31" applyFill="1" applyBorder="1"/>
    <xf numFmtId="1" fontId="28" fillId="6" borderId="6" xfId="28" applyNumberFormat="1"/>
    <xf numFmtId="1" fontId="16" fillId="0" borderId="0" xfId="31" applyNumberFormat="1" applyBorder="1"/>
    <xf numFmtId="172" fontId="28" fillId="6" borderId="6" xfId="28" applyNumberFormat="1"/>
    <xf numFmtId="173" fontId="16" fillId="0" borderId="0" xfId="31" applyNumberFormat="1"/>
    <xf numFmtId="0" fontId="34" fillId="0" borderId="0" xfId="31" applyFont="1"/>
    <xf numFmtId="0" fontId="16" fillId="0" borderId="5" xfId="31" applyBorder="1"/>
    <xf numFmtId="173" fontId="16" fillId="0" borderId="5" xfId="31" applyNumberFormat="1" applyBorder="1"/>
    <xf numFmtId="2" fontId="28" fillId="6" borderId="6" xfId="28" applyNumberFormat="1"/>
    <xf numFmtId="2" fontId="16" fillId="0" borderId="0" xfId="31" applyNumberFormat="1" applyFont="1"/>
    <xf numFmtId="9" fontId="0" fillId="0" borderId="0" xfId="45" applyFont="1"/>
    <xf numFmtId="171" fontId="0" fillId="0" borderId="0" xfId="45" applyNumberFormat="1" applyFont="1"/>
    <xf numFmtId="0" fontId="43" fillId="4" borderId="0" xfId="3" applyFont="1"/>
    <xf numFmtId="0" fontId="38" fillId="0" borderId="0" xfId="0" applyFont="1" applyAlignment="1">
      <alignment horizontal="center"/>
    </xf>
    <xf numFmtId="172" fontId="34" fillId="0" borderId="0" xfId="0" applyNumberFormat="1" applyFont="1" applyBorder="1"/>
    <xf numFmtId="177" fontId="0" fillId="0" borderId="0" xfId="0" applyNumberFormat="1"/>
    <xf numFmtId="9" fontId="28" fillId="6" borderId="11" xfId="27" applyNumberFormat="1" applyBorder="1"/>
    <xf numFmtId="174" fontId="16" fillId="8" borderId="9" xfId="44" applyNumberFormat="1" applyFont="1"/>
    <xf numFmtId="0" fontId="0" fillId="0" borderId="12" xfId="0" applyBorder="1"/>
    <xf numFmtId="0" fontId="0" fillId="0" borderId="13" xfId="0" applyFill="1" applyBorder="1"/>
    <xf numFmtId="0" fontId="0" fillId="0" borderId="14" xfId="0" applyBorder="1"/>
    <xf numFmtId="0" fontId="0" fillId="0" borderId="3" xfId="0" applyBorder="1"/>
    <xf numFmtId="0" fontId="9" fillId="0" borderId="13" xfId="33" applyFont="1" applyBorder="1"/>
    <xf numFmtId="0" fontId="9" fillId="0" borderId="16" xfId="33" applyFont="1" applyBorder="1" applyAlignment="1">
      <alignment horizontal="center" wrapText="1"/>
    </xf>
    <xf numFmtId="0" fontId="0" fillId="0" borderId="16" xfId="0" applyFill="1" applyBorder="1"/>
    <xf numFmtId="0" fontId="0" fillId="0" borderId="17" xfId="0" applyBorder="1"/>
    <xf numFmtId="0" fontId="0" fillId="0" borderId="18" xfId="0" applyBorder="1"/>
    <xf numFmtId="0" fontId="38" fillId="0" borderId="0" xfId="0" applyFont="1" applyBorder="1"/>
    <xf numFmtId="0" fontId="39" fillId="0" borderId="0" xfId="0" applyFont="1" applyBorder="1"/>
    <xf numFmtId="0" fontId="38" fillId="0" borderId="17" xfId="0" applyFont="1" applyBorder="1"/>
    <xf numFmtId="0" fontId="39" fillId="0" borderId="3" xfId="0" applyFont="1" applyBorder="1"/>
    <xf numFmtId="0" fontId="38" fillId="0" borderId="18" xfId="0" applyFont="1" applyBorder="1"/>
    <xf numFmtId="176" fontId="0" fillId="0" borderId="0" xfId="0" applyNumberFormat="1"/>
    <xf numFmtId="176" fontId="34" fillId="0" borderId="0" xfId="0" applyNumberFormat="1" applyFont="1"/>
    <xf numFmtId="0" fontId="0" fillId="0" borderId="19" xfId="0" applyBorder="1"/>
    <xf numFmtId="0" fontId="0" fillId="0" borderId="20" xfId="0" applyBorder="1"/>
    <xf numFmtId="0" fontId="0" fillId="0" borderId="21" xfId="0" applyBorder="1"/>
    <xf numFmtId="0" fontId="0" fillId="0" borderId="1" xfId="0" applyBorder="1"/>
    <xf numFmtId="172" fontId="0" fillId="0" borderId="0" xfId="0" quotePrefix="1" applyNumberFormat="1"/>
    <xf numFmtId="0" fontId="0" fillId="10" borderId="0" xfId="0" applyFill="1"/>
    <xf numFmtId="2" fontId="38" fillId="0" borderId="17"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1" fontId="28" fillId="0" borderId="6" xfId="27" applyNumberFormat="1" applyFill="1"/>
    <xf numFmtId="10" fontId="28" fillId="0" borderId="6" xfId="27" applyNumberFormat="1" applyFill="1"/>
    <xf numFmtId="171" fontId="0" fillId="0" borderId="4" xfId="0" applyNumberFormat="1" applyBorder="1"/>
    <xf numFmtId="2" fontId="43" fillId="4" borderId="0" xfId="3" applyNumberFormat="1" applyFont="1"/>
    <xf numFmtId="166"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8" xfId="21" applyAlignment="1">
      <alignment horizontal="left"/>
    </xf>
    <xf numFmtId="166" fontId="2" fillId="0" borderId="0" xfId="11" applyNumberFormat="1" applyFill="1" applyBorder="1"/>
    <xf numFmtId="2" fontId="0" fillId="0" borderId="17" xfId="0" applyNumberFormat="1" applyBorder="1"/>
    <xf numFmtId="0" fontId="26" fillId="0" borderId="45" xfId="21" applyBorder="1"/>
    <xf numFmtId="0" fontId="0" fillId="0" borderId="17" xfId="0" applyFill="1" applyBorder="1"/>
    <xf numFmtId="0" fontId="2" fillId="0" borderId="0" xfId="31" applyFont="1" applyFill="1" applyAlignment="1">
      <alignment horizontal="left"/>
    </xf>
    <xf numFmtId="0" fontId="2" fillId="0" borderId="0" xfId="31" applyFont="1" applyFill="1" applyAlignment="1">
      <alignment horizontal="left"/>
    </xf>
    <xf numFmtId="0" fontId="26" fillId="9" borderId="8" xfId="22" applyFill="1" applyAlignment="1">
      <alignment horizontal="left"/>
    </xf>
    <xf numFmtId="0" fontId="26" fillId="9" borderId="8" xfId="22" applyFill="1"/>
    <xf numFmtId="1" fontId="28" fillId="6" borderId="46" xfId="28" applyNumberFormat="1" applyBorder="1"/>
    <xf numFmtId="0" fontId="16" fillId="0" borderId="17" xfId="31" applyBorder="1"/>
    <xf numFmtId="0" fontId="26" fillId="0" borderId="45" xfId="22" applyBorder="1"/>
    <xf numFmtId="0" fontId="16" fillId="0" borderId="47" xfId="31" applyFill="1" applyBorder="1"/>
    <xf numFmtId="2" fontId="28" fillId="6" borderId="48" xfId="28" applyNumberFormat="1" applyBorder="1"/>
    <xf numFmtId="172" fontId="28" fillId="6" borderId="48" xfId="28" applyNumberFormat="1" applyBorder="1"/>
    <xf numFmtId="0" fontId="16" fillId="0" borderId="17" xfId="31" applyFont="1" applyBorder="1"/>
    <xf numFmtId="0" fontId="34" fillId="0" borderId="17" xfId="31" applyFont="1" applyBorder="1"/>
    <xf numFmtId="172" fontId="16" fillId="0" borderId="0" xfId="31" applyNumberFormat="1" applyBorder="1"/>
    <xf numFmtId="0" fontId="152" fillId="0" borderId="8" xfId="22" applyFont="1"/>
    <xf numFmtId="175" fontId="16" fillId="0" borderId="0" xfId="3924" applyNumberFormat="1" applyBorder="1"/>
    <xf numFmtId="0" fontId="34" fillId="0" borderId="5" xfId="31" applyFont="1" applyBorder="1"/>
    <xf numFmtId="0" fontId="16" fillId="0" borderId="34" xfId="31" applyFont="1" applyBorder="1"/>
    <xf numFmtId="0" fontId="26" fillId="0" borderId="17" xfId="22" applyBorder="1"/>
    <xf numFmtId="0" fontId="26" fillId="0" borderId="0" xfId="22" applyBorder="1"/>
    <xf numFmtId="0" fontId="153" fillId="0" borderId="8" xfId="22" applyFont="1"/>
    <xf numFmtId="0" fontId="153" fillId="0" borderId="0" xfId="22" applyFont="1" applyBorder="1" applyAlignment="1">
      <alignment horizontal="left"/>
    </xf>
    <xf numFmtId="172" fontId="34" fillId="0" borderId="34" xfId="31" applyNumberFormat="1" applyFont="1" applyBorder="1"/>
    <xf numFmtId="0" fontId="154" fillId="0" borderId="0" xfId="33" applyFont="1"/>
    <xf numFmtId="0" fontId="16" fillId="0" borderId="3" xfId="31" applyBorder="1"/>
    <xf numFmtId="0" fontId="155" fillId="0" borderId="0" xfId="31" applyFont="1" applyFill="1" applyAlignment="1">
      <alignment horizontal="left"/>
    </xf>
    <xf numFmtId="0" fontId="90" fillId="0" borderId="0" xfId="31" applyFont="1" applyFill="1" applyAlignment="1">
      <alignment horizontal="left"/>
    </xf>
    <xf numFmtId="2" fontId="16" fillId="0" borderId="17" xfId="31" applyNumberFormat="1" applyBorder="1"/>
    <xf numFmtId="0" fontId="153" fillId="0" borderId="8" xfId="22" applyFont="1" applyAlignment="1">
      <alignment horizontal="left"/>
    </xf>
    <xf numFmtId="0" fontId="2" fillId="0" borderId="0" xfId="31" applyFont="1" applyFill="1" applyBorder="1" applyAlignment="1">
      <alignment horizontal="left"/>
    </xf>
    <xf numFmtId="9" fontId="16" fillId="9" borderId="0" xfId="31" applyNumberFormat="1" applyFill="1" applyBorder="1"/>
    <xf numFmtId="1" fontId="34" fillId="0" borderId="0" xfId="31" applyNumberFormat="1" applyFont="1"/>
    <xf numFmtId="1" fontId="41" fillId="6" borderId="6" xfId="28" applyNumberFormat="1" applyFont="1"/>
    <xf numFmtId="1" fontId="41" fillId="6" borderId="46" xfId="28" applyNumberFormat="1" applyFont="1" applyBorder="1"/>
    <xf numFmtId="0" fontId="155" fillId="0" borderId="3" xfId="31" applyFont="1" applyFill="1" applyBorder="1" applyAlignment="1">
      <alignment horizontal="left"/>
    </xf>
    <xf numFmtId="0" fontId="16" fillId="0" borderId="49" xfId="31" applyBorder="1"/>
    <xf numFmtId="0" fontId="16" fillId="0" borderId="17" xfId="31" applyFill="1" applyBorder="1"/>
    <xf numFmtId="1" fontId="16" fillId="0" borderId="17" xfId="31" applyNumberFormat="1" applyBorder="1"/>
    <xf numFmtId="0" fontId="16" fillId="0" borderId="47" xfId="31" applyBorder="1"/>
    <xf numFmtId="1" fontId="34" fillId="75" borderId="0" xfId="31" applyNumberFormat="1" applyFont="1" applyFill="1"/>
    <xf numFmtId="173" fontId="16" fillId="8" borderId="9" xfId="44" applyNumberFormat="1" applyFont="1"/>
    <xf numFmtId="9" fontId="16" fillId="0" borderId="0" xfId="31" applyNumberFormat="1" applyFill="1" applyBorder="1"/>
    <xf numFmtId="9" fontId="16" fillId="0" borderId="0" xfId="45" applyFill="1" applyBorder="1"/>
    <xf numFmtId="9" fontId="16" fillId="0" borderId="17"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6" xfId="27" applyNumberFormat="1" applyFont="1"/>
    <xf numFmtId="9" fontId="0" fillId="10" borderId="0" xfId="0" applyNumberFormat="1" applyFill="1"/>
    <xf numFmtId="0" fontId="40" fillId="76" borderId="6" xfId="30" applyFont="1" applyFill="1" applyBorder="1" applyAlignment="1">
      <alignment horizontal="center"/>
    </xf>
    <xf numFmtId="171"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3" xfId="0" applyBorder="1"/>
    <xf numFmtId="0" fontId="0" fillId="10" borderId="0" xfId="0" applyFill="1"/>
    <xf numFmtId="171" fontId="0" fillId="38" borderId="0" xfId="45" applyNumberFormat="1" applyFont="1" applyFill="1" applyAlignment="1">
      <alignment horizontal="center"/>
    </xf>
    <xf numFmtId="173" fontId="0" fillId="10" borderId="0" xfId="0" applyNumberFormat="1" applyFill="1"/>
    <xf numFmtId="0" fontId="161" fillId="76" borderId="6" xfId="30" applyFont="1" applyFill="1" applyBorder="1" applyAlignment="1">
      <alignment horizontal="center"/>
    </xf>
    <xf numFmtId="0" fontId="162" fillId="7" borderId="6"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2" fontId="28" fillId="8" borderId="9" xfId="44" applyNumberFormat="1" applyFont="1"/>
    <xf numFmtId="1" fontId="0" fillId="10" borderId="0" xfId="45" applyNumberFormat="1" applyFont="1" applyFill="1"/>
    <xf numFmtId="1" fontId="0" fillId="10" borderId="0" xfId="0" applyNumberFormat="1" applyFill="1"/>
    <xf numFmtId="176" fontId="0" fillId="10" borderId="0" xfId="0" applyNumberFormat="1" applyFill="1"/>
    <xf numFmtId="172" fontId="0" fillId="10" borderId="0" xfId="0" applyNumberFormat="1" applyFill="1"/>
    <xf numFmtId="176" fontId="0" fillId="0" borderId="0" xfId="0" applyNumberFormat="1" applyFill="1"/>
    <xf numFmtId="173" fontId="0" fillId="0" borderId="0" xfId="0" applyNumberFormat="1" applyFill="1"/>
    <xf numFmtId="172"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2" fontId="0" fillId="79" borderId="0" xfId="0" applyNumberFormat="1" applyFill="1"/>
    <xf numFmtId="187" fontId="16" fillId="0" borderId="61" xfId="2765" applyNumberFormat="1" applyFont="1" applyBorder="1" applyAlignment="1">
      <alignment vertical="center" wrapText="1"/>
    </xf>
    <xf numFmtId="188" fontId="0" fillId="0" borderId="0" xfId="0" applyNumberFormat="1"/>
    <xf numFmtId="2" fontId="16" fillId="81" borderId="0" xfId="31" applyNumberFormat="1" applyFill="1"/>
    <xf numFmtId="172" fontId="19" fillId="81" borderId="6" xfId="6" applyNumberFormat="1" applyFill="1"/>
    <xf numFmtId="172" fontId="16" fillId="81" borderId="4" xfId="31" applyNumberFormat="1" applyFill="1" applyBorder="1"/>
    <xf numFmtId="2" fontId="35" fillId="0" borderId="0" xfId="31" applyNumberFormat="1" applyFont="1"/>
    <xf numFmtId="0" fontId="35" fillId="10" borderId="0" xfId="31" applyFont="1" applyFill="1"/>
    <xf numFmtId="0" fontId="35" fillId="10" borderId="10" xfId="31" applyFont="1" applyFill="1" applyBorder="1"/>
    <xf numFmtId="0" fontId="165" fillId="0" borderId="0" xfId="0" applyFont="1"/>
    <xf numFmtId="0" fontId="166" fillId="0" borderId="0" xfId="0" applyFont="1"/>
    <xf numFmtId="172" fontId="165" fillId="0" borderId="0" xfId="0" applyNumberFormat="1" applyFont="1"/>
    <xf numFmtId="2" fontId="165" fillId="0" borderId="0" xfId="0" applyNumberFormat="1" applyFont="1"/>
    <xf numFmtId="0" fontId="26" fillId="0" borderId="8" xfId="21" applyAlignment="1">
      <alignment horizontal="left"/>
    </xf>
    <xf numFmtId="0" fontId="2" fillId="0" borderId="0" xfId="0" applyFont="1" applyAlignment="1">
      <alignment horizontal="left"/>
    </xf>
    <xf numFmtId="2" fontId="16" fillId="0" borderId="0" xfId="45" applyNumberFormat="1"/>
    <xf numFmtId="9" fontId="16" fillId="8" borderId="9" xfId="44" applyNumberFormat="1"/>
    <xf numFmtId="9" fontId="28" fillId="0" borderId="6" xfId="45" applyFont="1" applyBorder="1"/>
    <xf numFmtId="9" fontId="16" fillId="0" borderId="0" xfId="45"/>
    <xf numFmtId="172" fontId="16" fillId="0" borderId="0" xfId="45" applyNumberFormat="1"/>
    <xf numFmtId="1" fontId="16" fillId="0" borderId="9" xfId="44" applyNumberFormat="1" applyFill="1"/>
    <xf numFmtId="2" fontId="16" fillId="8" borderId="9" xfId="44" applyNumberFormat="1"/>
    <xf numFmtId="2" fontId="0" fillId="0" borderId="0" xfId="45" applyNumberFormat="1" applyFont="1"/>
    <xf numFmtId="0" fontId="0" fillId="0" borderId="16" xfId="0" applyBorder="1"/>
    <xf numFmtId="2" fontId="16" fillId="8" borderId="15" xfId="44" applyNumberFormat="1" applyBorder="1"/>
    <xf numFmtId="1" fontId="2" fillId="0" borderId="0" xfId="11" applyNumberFormat="1"/>
    <xf numFmtId="175" fontId="2" fillId="0" borderId="0" xfId="11" applyNumberFormat="1"/>
    <xf numFmtId="9" fontId="16" fillId="0" borderId="4" xfId="45" applyBorder="1"/>
    <xf numFmtId="171" fontId="16" fillId="0" borderId="0" xfId="45" applyNumberFormat="1"/>
    <xf numFmtId="171" fontId="16" fillId="0" borderId="4" xfId="45" applyNumberFormat="1" applyBorder="1"/>
    <xf numFmtId="10" fontId="16" fillId="0" borderId="0" xfId="45" applyNumberFormat="1"/>
    <xf numFmtId="171" fontId="28" fillId="0" borderId="6" xfId="45" applyNumberFormat="1" applyFont="1" applyBorder="1"/>
    <xf numFmtId="0" fontId="16" fillId="8" borderId="9" xfId="44"/>
    <xf numFmtId="0" fontId="28" fillId="0" borderId="6" xfId="27" applyFill="1"/>
    <xf numFmtId="0" fontId="16" fillId="0" borderId="4" xfId="45" applyNumberFormat="1" applyBorder="1"/>
    <xf numFmtId="1" fontId="28" fillId="0" borderId="6" xfId="45" applyNumberFormat="1" applyFont="1" applyBorder="1"/>
    <xf numFmtId="0" fontId="16" fillId="0" borderId="0" xfId="45" applyNumberFormat="1"/>
    <xf numFmtId="172" fontId="16" fillId="0" borderId="4" xfId="45" applyNumberFormat="1" applyBorder="1"/>
    <xf numFmtId="0" fontId="26" fillId="0" borderId="8" xfId="21" applyAlignment="1">
      <alignment horizontal="left"/>
    </xf>
    <xf numFmtId="0" fontId="2" fillId="0" borderId="0" xfId="31" applyFont="1" applyFill="1" applyAlignment="1">
      <alignment horizontal="left"/>
    </xf>
    <xf numFmtId="0" fontId="0" fillId="0" borderId="0" xfId="0" applyAlignment="1"/>
  </cellXfs>
  <cellStyles count="44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microsoft.com/office/2017/10/relationships/person" Target="persons/perso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9.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0.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MCEcon!$B$29:$E$29</c:f>
              <c:numCache>
                <c:formatCode>General</c:formatCode>
                <c:ptCount val="4"/>
                <c:pt idx="0">
                  <c:v>2012</c:v>
                </c:pt>
                <c:pt idx="1">
                  <c:v>2015</c:v>
                </c:pt>
                <c:pt idx="2">
                  <c:v>2020</c:v>
                </c:pt>
                <c:pt idx="3">
                  <c:v>2025</c:v>
                </c:pt>
              </c:numCache>
            </c:numRef>
          </c:xVal>
          <c:yVal>
            <c:numRef>
              <c:f>MCEcon!$B$30:$E$30</c:f>
              <c:numCache>
                <c:formatCode>General</c:formatCode>
                <c:ptCount val="4"/>
                <c:pt idx="0">
                  <c:v>0.44199404226547501</c:v>
                </c:pt>
                <c:pt idx="1">
                  <c:v>0.42623934038097749</c:v>
                </c:pt>
                <c:pt idx="2">
                  <c:v>0.39998150390681497</c:v>
                </c:pt>
                <c:pt idx="3">
                  <c:v>0.37893489245669187</c:v>
                </c:pt>
              </c:numCache>
            </c:numRef>
          </c:yVal>
          <c:smooth val="0"/>
          <c:extLst>
            <c:ext xmlns:c16="http://schemas.microsoft.com/office/drawing/2014/chart" uri="{C3380CC4-5D6E-409C-BE32-E72D297353CC}">
              <c16:uniqueId val="{00000000-17F2-4811-993A-E9B85FF6B8C3}"/>
            </c:ext>
          </c:extLst>
        </c:ser>
        <c:dLbls>
          <c:showLegendKey val="0"/>
          <c:showVal val="0"/>
          <c:showCatName val="0"/>
          <c:showSerName val="0"/>
          <c:showPercent val="0"/>
          <c:showBubbleSize val="0"/>
        </c:dLbls>
        <c:axId val="508938096"/>
        <c:axId val="508937312"/>
      </c:scatterChart>
      <c:valAx>
        <c:axId val="50893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937312"/>
        <c:crosses val="autoZero"/>
        <c:crossBetween val="midCat"/>
      </c:valAx>
      <c:valAx>
        <c:axId val="508937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938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'hh.inc.regressions'!$P$45</c:f>
              <c:strCache>
                <c:ptCount val="1"/>
                <c:pt idx="0">
                  <c:v>base</c:v>
                </c:pt>
              </c:strCache>
            </c:strRef>
          </c:tx>
          <c:marker>
            <c:symbol val="none"/>
          </c:marker>
          <c:cat>
            <c:numRef>
              <c:f>'hh.inc.regressions'!$O$46:$O$79</c:f>
              <c:numCache>
                <c:formatCode>General</c:formatCode>
                <c:ptCount val="3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numCache>
            </c:numRef>
          </c:cat>
          <c:val>
            <c:numRef>
              <c:f>'hh.inc.regressions'!$P$46:$P$79</c:f>
              <c:numCache>
                <c:formatCode>0.000</c:formatCode>
                <c:ptCount val="34"/>
                <c:pt idx="0">
                  <c:v>0.50003199863472492</c:v>
                </c:pt>
                <c:pt idx="1">
                  <c:v>0.49083032025929479</c:v>
                </c:pt>
                <c:pt idx="2">
                  <c:v>0.48078921634160282</c:v>
                </c:pt>
                <c:pt idx="3">
                  <c:v>0.47245797098666625</c:v>
                </c:pt>
                <c:pt idx="4">
                  <c:v>0.46466304555325494</c:v>
                </c:pt>
                <c:pt idx="5">
                  <c:v>0.45786418272191554</c:v>
                </c:pt>
                <c:pt idx="6">
                  <c:v>0.45237057995231905</c:v>
                </c:pt>
                <c:pt idx="7">
                  <c:v>0.4474410510739113</c:v>
                </c:pt>
                <c:pt idx="8">
                  <c:v>0.44169145516728003</c:v>
                </c:pt>
                <c:pt idx="9">
                  <c:v>0.43550762734205728</c:v>
                </c:pt>
                <c:pt idx="10">
                  <c:v>0.4291749964338013</c:v>
                </c:pt>
                <c:pt idx="11">
                  <c:v>0.42369219736938185</c:v>
                </c:pt>
                <c:pt idx="12">
                  <c:v>0.41824825517086295</c:v>
                </c:pt>
                <c:pt idx="13">
                  <c:v>0.41289247231287635</c:v>
                </c:pt>
                <c:pt idx="14">
                  <c:v>0.40781528639174419</c:v>
                </c:pt>
                <c:pt idx="15">
                  <c:v>0.40301839677722479</c:v>
                </c:pt>
                <c:pt idx="16">
                  <c:v>0.39833169703558774</c:v>
                </c:pt>
                <c:pt idx="17">
                  <c:v>0.39362016200898453</c:v>
                </c:pt>
                <c:pt idx="18">
                  <c:v>0.38889244452050048</c:v>
                </c:pt>
                <c:pt idx="19">
                  <c:v>0.3839890137875735</c:v>
                </c:pt>
                <c:pt idx="20">
                  <c:v>0.379286434164672</c:v>
                </c:pt>
                <c:pt idx="21">
                  <c:v>0.37488571784427555</c:v>
                </c:pt>
                <c:pt idx="22">
                  <c:v>0.37068090076317184</c:v>
                </c:pt>
                <c:pt idx="23">
                  <c:v>0.36657029281793774</c:v>
                </c:pt>
                <c:pt idx="24">
                  <c:v>0.36220101692941098</c:v>
                </c:pt>
                <c:pt idx="25">
                  <c:v>0.3574481052527787</c:v>
                </c:pt>
                <c:pt idx="26">
                  <c:v>0.35253688225541902</c:v>
                </c:pt>
                <c:pt idx="27">
                  <c:v>0.34755134583621405</c:v>
                </c:pt>
                <c:pt idx="28">
                  <c:v>0.34264235438856278</c:v>
                </c:pt>
                <c:pt idx="29">
                  <c:v>0.33787973824145034</c:v>
                </c:pt>
                <c:pt idx="30">
                  <c:v>0.33331127545953398</c:v>
                </c:pt>
                <c:pt idx="31">
                  <c:v>0.32878223413103491</c:v>
                </c:pt>
                <c:pt idx="32">
                  <c:v>0.32420683052261356</c:v>
                </c:pt>
                <c:pt idx="33">
                  <c:v>0.31984321123193693</c:v>
                </c:pt>
              </c:numCache>
            </c:numRef>
          </c:val>
          <c:smooth val="0"/>
          <c:extLst>
            <c:ext xmlns:c16="http://schemas.microsoft.com/office/drawing/2014/chart" uri="{C3380CC4-5D6E-409C-BE32-E72D297353CC}">
              <c16:uniqueId val="{00000000-3EFF-4748-893D-BD5C001233C3}"/>
            </c:ext>
          </c:extLst>
        </c:ser>
        <c:ser>
          <c:idx val="1"/>
          <c:order val="1"/>
          <c:tx>
            <c:strRef>
              <c:f>'hh.inc.regressions'!$Q$45</c:f>
              <c:strCache>
                <c:ptCount val="1"/>
                <c:pt idx="0">
                  <c:v>sim1</c:v>
                </c:pt>
              </c:strCache>
            </c:strRef>
          </c:tx>
          <c:marker>
            <c:symbol val="none"/>
          </c:marker>
          <c:cat>
            <c:numRef>
              <c:f>'hh.inc.regressions'!$O$46:$O$79</c:f>
              <c:numCache>
                <c:formatCode>General</c:formatCode>
                <c:ptCount val="3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numCache>
            </c:numRef>
          </c:cat>
          <c:val>
            <c:numRef>
              <c:f>'hh.inc.regressions'!$Q$46:$Q$79</c:f>
              <c:numCache>
                <c:formatCode>0.000</c:formatCode>
                <c:ptCount val="34"/>
                <c:pt idx="0">
                  <c:v>0.50003199863472492</c:v>
                </c:pt>
                <c:pt idx="1">
                  <c:v>0.49083032025982193</c:v>
                </c:pt>
                <c:pt idx="2">
                  <c:v>0.48076691823611933</c:v>
                </c:pt>
                <c:pt idx="3">
                  <c:v>0.47240628873205703</c:v>
                </c:pt>
                <c:pt idx="4">
                  <c:v>0.46458251203599427</c:v>
                </c:pt>
                <c:pt idx="5">
                  <c:v>0.45775250263144918</c:v>
                </c:pt>
                <c:pt idx="6">
                  <c:v>0.45223087708767573</c:v>
                </c:pt>
                <c:pt idx="7">
                  <c:v>0.43776711067032625</c:v>
                </c:pt>
                <c:pt idx="8">
                  <c:v>0.42007324814905178</c:v>
                </c:pt>
                <c:pt idx="9">
                  <c:v>0.40214710066376314</c:v>
                </c:pt>
                <c:pt idx="10">
                  <c:v>0.38443283689319774</c:v>
                </c:pt>
                <c:pt idx="11">
                  <c:v>0.36782496675472226</c:v>
                </c:pt>
                <c:pt idx="12">
                  <c:v>0.35179412764858553</c:v>
                </c:pt>
                <c:pt idx="13">
                  <c:v>0.3372768582290081</c:v>
                </c:pt>
                <c:pt idx="14">
                  <c:v>0.32366902217868021</c:v>
                </c:pt>
                <c:pt idx="15">
                  <c:v>0.31059023195239255</c:v>
                </c:pt>
                <c:pt idx="16">
                  <c:v>0.29817726117062249</c:v>
                </c:pt>
                <c:pt idx="17">
                  <c:v>0.28757991483264128</c:v>
                </c:pt>
                <c:pt idx="18">
                  <c:v>0.27807476616084092</c:v>
                </c:pt>
                <c:pt idx="19">
                  <c:v>0.26865696972929848</c:v>
                </c:pt>
                <c:pt idx="20">
                  <c:v>0.25930037781021736</c:v>
                </c:pt>
                <c:pt idx="21">
                  <c:v>0.24964137635334743</c:v>
                </c:pt>
                <c:pt idx="22">
                  <c:v>0.24089416098442562</c:v>
                </c:pt>
                <c:pt idx="23">
                  <c:v>0.23262423403870691</c:v>
                </c:pt>
                <c:pt idx="24">
                  <c:v>0.22454185901059878</c:v>
                </c:pt>
                <c:pt idx="25">
                  <c:v>0.21669910556624253</c:v>
                </c:pt>
                <c:pt idx="26">
                  <c:v>0.20913924297243922</c:v>
                </c:pt>
                <c:pt idx="27">
                  <c:v>0.20278742359641061</c:v>
                </c:pt>
                <c:pt idx="28">
                  <c:v>0.1969125381610414</c:v>
                </c:pt>
                <c:pt idx="29">
                  <c:v>0.19115762784367857</c:v>
                </c:pt>
                <c:pt idx="30">
                  <c:v>0.18563341625914284</c:v>
                </c:pt>
                <c:pt idx="31">
                  <c:v>0.18022332692222309</c:v>
                </c:pt>
                <c:pt idx="32">
                  <c:v>0.17499045296079455</c:v>
                </c:pt>
                <c:pt idx="33">
                  <c:v>0.16997429262194147</c:v>
                </c:pt>
              </c:numCache>
            </c:numRef>
          </c:val>
          <c:smooth val="0"/>
          <c:extLst>
            <c:ext xmlns:c16="http://schemas.microsoft.com/office/drawing/2014/chart" uri="{C3380CC4-5D6E-409C-BE32-E72D297353CC}">
              <c16:uniqueId val="{00000001-3EFF-4748-893D-BD5C001233C3}"/>
            </c:ext>
          </c:extLst>
        </c:ser>
        <c:ser>
          <c:idx val="2"/>
          <c:order val="2"/>
          <c:tx>
            <c:strRef>
              <c:f>'hh.inc.regressions'!$R$45</c:f>
              <c:strCache>
                <c:ptCount val="1"/>
                <c:pt idx="0">
                  <c:v>sim2</c:v>
                </c:pt>
              </c:strCache>
            </c:strRef>
          </c:tx>
          <c:marker>
            <c:symbol val="none"/>
          </c:marker>
          <c:cat>
            <c:numRef>
              <c:f>'hh.inc.regressions'!$O$46:$O$79</c:f>
              <c:numCache>
                <c:formatCode>General</c:formatCode>
                <c:ptCount val="3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numCache>
            </c:numRef>
          </c:cat>
          <c:val>
            <c:numRef>
              <c:f>'hh.inc.regressions'!$R$46:$R$79</c:f>
              <c:numCache>
                <c:formatCode>0.000</c:formatCode>
                <c:ptCount val="34"/>
                <c:pt idx="0">
                  <c:v>0.50003199863472492</c:v>
                </c:pt>
                <c:pt idx="1">
                  <c:v>0.49083032025970963</c:v>
                </c:pt>
                <c:pt idx="2">
                  <c:v>0.48075416960886902</c:v>
                </c:pt>
                <c:pt idx="3">
                  <c:v>0.47237702657509617</c:v>
                </c:pt>
                <c:pt idx="4">
                  <c:v>0.46453710680116245</c:v>
                </c:pt>
                <c:pt idx="5">
                  <c:v>0.45771717775812115</c:v>
                </c:pt>
                <c:pt idx="6">
                  <c:v>0.45215994439759633</c:v>
                </c:pt>
                <c:pt idx="7">
                  <c:v>0.43441657919796162</c:v>
                </c:pt>
                <c:pt idx="8">
                  <c:v>0.41348732947694022</c:v>
                </c:pt>
                <c:pt idx="9">
                  <c:v>0.39274300727101102</c:v>
                </c:pt>
                <c:pt idx="10">
                  <c:v>0.37247586044525699</c:v>
                </c:pt>
                <c:pt idx="11">
                  <c:v>0.3536216808084911</c:v>
                </c:pt>
                <c:pt idx="12">
                  <c:v>0.33538524677688408</c:v>
                </c:pt>
                <c:pt idx="13">
                  <c:v>0.32064079838930726</c:v>
                </c:pt>
                <c:pt idx="14">
                  <c:v>0.30673133994794083</c:v>
                </c:pt>
                <c:pt idx="15">
                  <c:v>0.29313802007736561</c:v>
                </c:pt>
                <c:pt idx="16">
                  <c:v>0.2801406568947038</c:v>
                </c:pt>
                <c:pt idx="17">
                  <c:v>0.26808436137517389</c:v>
                </c:pt>
                <c:pt idx="18">
                  <c:v>0.25670999059493166</c:v>
                </c:pt>
                <c:pt idx="19">
                  <c:v>0.24548738869296965</c:v>
                </c:pt>
                <c:pt idx="20">
                  <c:v>0.234339430556709</c:v>
                </c:pt>
                <c:pt idx="21">
                  <c:v>0.22304725508220025</c:v>
                </c:pt>
                <c:pt idx="22">
                  <c:v>0.21381269471061989</c:v>
                </c:pt>
                <c:pt idx="23">
                  <c:v>0.20542682312147764</c:v>
                </c:pt>
                <c:pt idx="24">
                  <c:v>0.1974153433324822</c:v>
                </c:pt>
                <c:pt idx="25">
                  <c:v>0.18988971517996564</c:v>
                </c:pt>
                <c:pt idx="26">
                  <c:v>0.1826327202064105</c:v>
                </c:pt>
                <c:pt idx="27">
                  <c:v>0.17721421514012267</c:v>
                </c:pt>
                <c:pt idx="28">
                  <c:v>0.17229464376773485</c:v>
                </c:pt>
                <c:pt idx="29">
                  <c:v>0.16752554306854206</c:v>
                </c:pt>
                <c:pt idx="30">
                  <c:v>0.16305106091496185</c:v>
                </c:pt>
                <c:pt idx="31">
                  <c:v>0.15875868392667006</c:v>
                </c:pt>
                <c:pt idx="32">
                  <c:v>0.1546303800054549</c:v>
                </c:pt>
                <c:pt idx="33">
                  <c:v>0.15070000881860313</c:v>
                </c:pt>
              </c:numCache>
            </c:numRef>
          </c:val>
          <c:smooth val="0"/>
          <c:extLst>
            <c:ext xmlns:c16="http://schemas.microsoft.com/office/drawing/2014/chart" uri="{C3380CC4-5D6E-409C-BE32-E72D297353CC}">
              <c16:uniqueId val="{00000002-3EFF-4748-893D-BD5C001233C3}"/>
            </c:ext>
          </c:extLst>
        </c:ser>
        <c:ser>
          <c:idx val="3"/>
          <c:order val="3"/>
          <c:tx>
            <c:strRef>
              <c:f>'hh.inc.regressions'!$S$45</c:f>
              <c:strCache>
                <c:ptCount val="1"/>
                <c:pt idx="0">
                  <c:v>sim3</c:v>
                </c:pt>
              </c:strCache>
            </c:strRef>
          </c:tx>
          <c:marker>
            <c:symbol val="none"/>
          </c:marker>
          <c:cat>
            <c:numRef>
              <c:f>'hh.inc.regressions'!$O$46:$O$79</c:f>
              <c:numCache>
                <c:formatCode>General</c:formatCode>
                <c:ptCount val="3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numCache>
            </c:numRef>
          </c:cat>
          <c:val>
            <c:numRef>
              <c:f>'hh.inc.regressions'!$S$46:$S$79</c:f>
              <c:numCache>
                <c:formatCode>0.000</c:formatCode>
                <c:ptCount val="34"/>
                <c:pt idx="0">
                  <c:v>0.50003199863472492</c:v>
                </c:pt>
                <c:pt idx="1">
                  <c:v>0.49083032025981077</c:v>
                </c:pt>
                <c:pt idx="2">
                  <c:v>0.48078474573071961</c:v>
                </c:pt>
                <c:pt idx="3">
                  <c:v>0.47244755992945731</c:v>
                </c:pt>
                <c:pt idx="4">
                  <c:v>0.46464678776518309</c:v>
                </c:pt>
                <c:pt idx="5">
                  <c:v>0.45786916657402071</c:v>
                </c:pt>
                <c:pt idx="6">
                  <c:v>0.45234998896205209</c:v>
                </c:pt>
                <c:pt idx="7">
                  <c:v>0.44318799780020285</c:v>
                </c:pt>
                <c:pt idx="8">
                  <c:v>0.43226639662635291</c:v>
                </c:pt>
                <c:pt idx="9">
                  <c:v>0.42089157184581016</c:v>
                </c:pt>
                <c:pt idx="10">
                  <c:v>0.40946065899672485</c:v>
                </c:pt>
                <c:pt idx="11">
                  <c:v>0.39878667686227492</c:v>
                </c:pt>
                <c:pt idx="12">
                  <c:v>0.38823967337241827</c:v>
                </c:pt>
                <c:pt idx="13">
                  <c:v>0.379311190801503</c:v>
                </c:pt>
                <c:pt idx="14">
                  <c:v>0.37111151552973287</c:v>
                </c:pt>
                <c:pt idx="15">
                  <c:v>0.3631351075615708</c:v>
                </c:pt>
                <c:pt idx="16">
                  <c:v>0.35533143375549059</c:v>
                </c:pt>
                <c:pt idx="17">
                  <c:v>0.34794240617026329</c:v>
                </c:pt>
                <c:pt idx="18">
                  <c:v>0.34075510524708541</c:v>
                </c:pt>
                <c:pt idx="19">
                  <c:v>0.33384394655625638</c:v>
                </c:pt>
                <c:pt idx="20">
                  <c:v>0.32714147539903926</c:v>
                </c:pt>
                <c:pt idx="21">
                  <c:v>0.32065373440090411</c:v>
                </c:pt>
                <c:pt idx="22">
                  <c:v>0.31548675475514287</c:v>
                </c:pt>
                <c:pt idx="23">
                  <c:v>0.31087465573282314</c:v>
                </c:pt>
                <c:pt idx="24">
                  <c:v>0.30631166545204341</c:v>
                </c:pt>
                <c:pt idx="25">
                  <c:v>0.30186956916725527</c:v>
                </c:pt>
                <c:pt idx="26">
                  <c:v>0.2976304906666048</c:v>
                </c:pt>
                <c:pt idx="27">
                  <c:v>0.2940398168697736</c:v>
                </c:pt>
                <c:pt idx="28">
                  <c:v>0.29079433257913234</c:v>
                </c:pt>
                <c:pt idx="29">
                  <c:v>0.28750706615645766</c:v>
                </c:pt>
                <c:pt idx="30">
                  <c:v>0.28437631631600407</c:v>
                </c:pt>
                <c:pt idx="31">
                  <c:v>0.28132504627928279</c:v>
                </c:pt>
                <c:pt idx="32">
                  <c:v>0.27829123071638029</c:v>
                </c:pt>
                <c:pt idx="33">
                  <c:v>0.27541354212455282</c:v>
                </c:pt>
              </c:numCache>
            </c:numRef>
          </c:val>
          <c:smooth val="0"/>
          <c:extLst>
            <c:ext xmlns:c16="http://schemas.microsoft.com/office/drawing/2014/chart" uri="{C3380CC4-5D6E-409C-BE32-E72D297353CC}">
              <c16:uniqueId val="{00000003-3EFF-4748-893D-BD5C001233C3}"/>
            </c:ext>
          </c:extLst>
        </c:ser>
        <c:ser>
          <c:idx val="4"/>
          <c:order val="4"/>
          <c:tx>
            <c:strRef>
              <c:f>'hh.inc.regressions'!$T$45</c:f>
              <c:strCache>
                <c:ptCount val="1"/>
                <c:pt idx="0">
                  <c:v>sim4</c:v>
                </c:pt>
              </c:strCache>
            </c:strRef>
          </c:tx>
          <c:marker>
            <c:symbol val="none"/>
          </c:marker>
          <c:cat>
            <c:numRef>
              <c:f>'hh.inc.regressions'!$O$46:$O$79</c:f>
              <c:numCache>
                <c:formatCode>General</c:formatCode>
                <c:ptCount val="3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numCache>
            </c:numRef>
          </c:cat>
          <c:val>
            <c:numRef>
              <c:f>'hh.inc.regressions'!$T$46:$T$79</c:f>
              <c:numCache>
                <c:formatCode>0.000</c:formatCode>
                <c:ptCount val="34"/>
                <c:pt idx="0">
                  <c:v>0.50003199863472492</c:v>
                </c:pt>
                <c:pt idx="1">
                  <c:v>0.49083032031743451</c:v>
                </c:pt>
                <c:pt idx="2">
                  <c:v>0.48076346324751595</c:v>
                </c:pt>
                <c:pt idx="3">
                  <c:v>0.47239833771510131</c:v>
                </c:pt>
                <c:pt idx="4">
                  <c:v>0.4645701609794996</c:v>
                </c:pt>
                <c:pt idx="5">
                  <c:v>0.45773539554377179</c:v>
                </c:pt>
                <c:pt idx="6">
                  <c:v>0.45220948637309866</c:v>
                </c:pt>
                <c:pt idx="7">
                  <c:v>0.43521757792911986</c:v>
                </c:pt>
                <c:pt idx="8">
                  <c:v>0.41516104101388451</c:v>
                </c:pt>
                <c:pt idx="9">
                  <c:v>0.39532901300995854</c:v>
                </c:pt>
                <c:pt idx="10">
                  <c:v>0.37591083874447317</c:v>
                </c:pt>
                <c:pt idx="11">
                  <c:v>0.35777107226912325</c:v>
                </c:pt>
                <c:pt idx="12">
                  <c:v>0.34014687840756863</c:v>
                </c:pt>
                <c:pt idx="13">
                  <c:v>0.32523863918222728</c:v>
                </c:pt>
                <c:pt idx="14">
                  <c:v>0.3115601750860737</c:v>
                </c:pt>
                <c:pt idx="15">
                  <c:v>0.29856269015705983</c:v>
                </c:pt>
                <c:pt idx="16">
                  <c:v>0.28601155466406752</c:v>
                </c:pt>
                <c:pt idx="17">
                  <c:v>0.27527181033313985</c:v>
                </c:pt>
                <c:pt idx="18">
                  <c:v>0.26524474833863387</c:v>
                </c:pt>
                <c:pt idx="19">
                  <c:v>0.25542652627672202</c:v>
                </c:pt>
                <c:pt idx="20">
                  <c:v>0.24568883457439825</c:v>
                </c:pt>
                <c:pt idx="21">
                  <c:v>0.23579856722538819</c:v>
                </c:pt>
                <c:pt idx="22">
                  <c:v>0.2287654818302777</c:v>
                </c:pt>
                <c:pt idx="23">
                  <c:v>0.2228742275361448</c:v>
                </c:pt>
                <c:pt idx="24">
                  <c:v>0.21735180636683185</c:v>
                </c:pt>
                <c:pt idx="25">
                  <c:v>0.21210105180095506</c:v>
                </c:pt>
                <c:pt idx="26">
                  <c:v>0.20704659785725399</c:v>
                </c:pt>
                <c:pt idx="27">
                  <c:v>0.20271014248398639</c:v>
                </c:pt>
                <c:pt idx="28">
                  <c:v>0.19876194509218637</c:v>
                </c:pt>
                <c:pt idx="29">
                  <c:v>0.19504600299855621</c:v>
                </c:pt>
                <c:pt idx="30">
                  <c:v>0.19157515681343482</c:v>
                </c:pt>
                <c:pt idx="31">
                  <c:v>0.18830846376216659</c:v>
                </c:pt>
                <c:pt idx="32">
                  <c:v>0.18519669309540512</c:v>
                </c:pt>
                <c:pt idx="33">
                  <c:v>0.18229872058443697</c:v>
                </c:pt>
              </c:numCache>
            </c:numRef>
          </c:val>
          <c:smooth val="0"/>
          <c:extLst>
            <c:ext xmlns:c16="http://schemas.microsoft.com/office/drawing/2014/chart" uri="{C3380CC4-5D6E-409C-BE32-E72D297353CC}">
              <c16:uniqueId val="{00000004-3EFF-4748-893D-BD5C001233C3}"/>
            </c:ext>
          </c:extLst>
        </c:ser>
        <c:dLbls>
          <c:showLegendKey val="0"/>
          <c:showVal val="0"/>
          <c:showCatName val="0"/>
          <c:showSerName val="0"/>
          <c:showPercent val="0"/>
          <c:showBubbleSize val="0"/>
        </c:dLbls>
        <c:smooth val="0"/>
        <c:axId val="168785000"/>
        <c:axId val="509432520"/>
      </c:lineChart>
      <c:catAx>
        <c:axId val="168785000"/>
        <c:scaling>
          <c:orientation val="minMax"/>
        </c:scaling>
        <c:delete val="0"/>
        <c:axPos val="b"/>
        <c:numFmt formatCode="General" sourceLinked="1"/>
        <c:majorTickMark val="out"/>
        <c:minorTickMark val="none"/>
        <c:tickLblPos val="nextTo"/>
        <c:crossAx val="509432520"/>
        <c:crosses val="autoZero"/>
        <c:auto val="1"/>
        <c:lblAlgn val="ctr"/>
        <c:lblOffset val="100"/>
        <c:noMultiLvlLbl val="0"/>
      </c:catAx>
      <c:valAx>
        <c:axId val="509432520"/>
        <c:scaling>
          <c:orientation val="minMax"/>
        </c:scaling>
        <c:delete val="0"/>
        <c:axPos val="l"/>
        <c:majorGridlines/>
        <c:numFmt formatCode="0.000" sourceLinked="1"/>
        <c:majorTickMark val="out"/>
        <c:minorTickMark val="none"/>
        <c:tickLblPos val="nextTo"/>
        <c:crossAx val="1687850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'hh.inc.regressions'!$E$42</c:f>
              <c:strCache>
                <c:ptCount val="1"/>
                <c:pt idx="0">
                  <c:v>base</c:v>
                </c:pt>
              </c:strCache>
            </c:strRef>
          </c:tx>
          <c:marker>
            <c:symbol val="none"/>
          </c:marker>
          <c:cat>
            <c:numRef>
              <c:f>'hh.inc.regressions'!$D$43:$D$76</c:f>
              <c:numCache>
                <c:formatCode>General</c:formatCode>
                <c:ptCount val="3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numCache>
            </c:numRef>
          </c:cat>
          <c:val>
            <c:numRef>
              <c:f>'hh.inc.regressions'!$E$43:$E$76</c:f>
              <c:numCache>
                <c:formatCode>General</c:formatCode>
                <c:ptCount val="34"/>
                <c:pt idx="0">
                  <c:v>1763.1558581692218</c:v>
                </c:pt>
                <c:pt idx="1">
                  <c:v>1804.5324384705268</c:v>
                </c:pt>
                <c:pt idx="2">
                  <c:v>1845.8979544141246</c:v>
                </c:pt>
                <c:pt idx="3">
                  <c:v>1888.3130375536994</c:v>
                </c:pt>
                <c:pt idx="4">
                  <c:v>1931.11028360467</c:v>
                </c:pt>
                <c:pt idx="5">
                  <c:v>1973.9185192201905</c:v>
                </c:pt>
                <c:pt idx="6">
                  <c:v>2015.8294137990074</c:v>
                </c:pt>
                <c:pt idx="7">
                  <c:v>2056.4783620696749</c:v>
                </c:pt>
                <c:pt idx="8">
                  <c:v>2098.7146502485052</c:v>
                </c:pt>
                <c:pt idx="9">
                  <c:v>2143.7898932781859</c:v>
                </c:pt>
                <c:pt idx="10">
                  <c:v>2190.2156254193396</c:v>
                </c:pt>
                <c:pt idx="11">
                  <c:v>2237.9595697459754</c:v>
                </c:pt>
                <c:pt idx="12">
                  <c:v>2285.949340155355</c:v>
                </c:pt>
                <c:pt idx="13">
                  <c:v>2335.2200618733473</c:v>
                </c:pt>
                <c:pt idx="14">
                  <c:v>2384.3157146284311</c:v>
                </c:pt>
                <c:pt idx="15">
                  <c:v>2434.2993447940489</c:v>
                </c:pt>
                <c:pt idx="16">
                  <c:v>2484.1396986497693</c:v>
                </c:pt>
                <c:pt idx="17">
                  <c:v>2535.4411728657492</c:v>
                </c:pt>
                <c:pt idx="18">
                  <c:v>2588.7386335266801</c:v>
                </c:pt>
                <c:pt idx="19">
                  <c:v>2644.671920438645</c:v>
                </c:pt>
                <c:pt idx="20">
                  <c:v>2700.6290662616839</c:v>
                </c:pt>
                <c:pt idx="21">
                  <c:v>2756.0740059895561</c:v>
                </c:pt>
                <c:pt idx="22">
                  <c:v>2811.6644057808485</c:v>
                </c:pt>
                <c:pt idx="23">
                  <c:v>2867.6582092886101</c:v>
                </c:pt>
                <c:pt idx="24">
                  <c:v>2928.4500609454699</c:v>
                </c:pt>
                <c:pt idx="25">
                  <c:v>2992.7108183261389</c:v>
                </c:pt>
                <c:pt idx="26">
                  <c:v>3059.93300257701</c:v>
                </c:pt>
                <c:pt idx="27">
                  <c:v>3130.0520448766169</c:v>
                </c:pt>
                <c:pt idx="28">
                  <c:v>3200.8714684509005</c:v>
                </c:pt>
                <c:pt idx="29">
                  <c:v>3273.4424480113921</c:v>
                </c:pt>
                <c:pt idx="30">
                  <c:v>3344.4850778263681</c:v>
                </c:pt>
                <c:pt idx="31">
                  <c:v>3419.6345941862946</c:v>
                </c:pt>
                <c:pt idx="32">
                  <c:v>3497.6635161674722</c:v>
                </c:pt>
                <c:pt idx="33">
                  <c:v>3576.292440549505</c:v>
                </c:pt>
              </c:numCache>
            </c:numRef>
          </c:val>
          <c:smooth val="0"/>
          <c:extLst>
            <c:ext xmlns:c16="http://schemas.microsoft.com/office/drawing/2014/chart" uri="{C3380CC4-5D6E-409C-BE32-E72D297353CC}">
              <c16:uniqueId val="{00000000-28CD-4AA9-9ADB-5C1E76E47818}"/>
            </c:ext>
          </c:extLst>
        </c:ser>
        <c:ser>
          <c:idx val="1"/>
          <c:order val="1"/>
          <c:tx>
            <c:strRef>
              <c:f>'hh.inc.regressions'!$F$42</c:f>
              <c:strCache>
                <c:ptCount val="1"/>
                <c:pt idx="0">
                  <c:v>sim1</c:v>
                </c:pt>
              </c:strCache>
            </c:strRef>
          </c:tx>
          <c:marker>
            <c:symbol val="none"/>
          </c:marker>
          <c:cat>
            <c:numRef>
              <c:f>'hh.inc.regressions'!$D$43:$D$76</c:f>
              <c:numCache>
                <c:formatCode>General</c:formatCode>
                <c:ptCount val="3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numCache>
            </c:numRef>
          </c:cat>
          <c:val>
            <c:numRef>
              <c:f>'hh.inc.regressions'!$F$43:$F$76</c:f>
              <c:numCache>
                <c:formatCode>General</c:formatCode>
                <c:ptCount val="34"/>
                <c:pt idx="0">
                  <c:v>1763.1558581692218</c:v>
                </c:pt>
                <c:pt idx="1">
                  <c:v>1804.5324384714409</c:v>
                </c:pt>
                <c:pt idx="2">
                  <c:v>1845.8970089947395</c:v>
                </c:pt>
                <c:pt idx="3">
                  <c:v>1888.3148488508309</c:v>
                </c:pt>
                <c:pt idx="4">
                  <c:v>1931.1213167211145</c:v>
                </c:pt>
                <c:pt idx="5">
                  <c:v>1973.9428857821131</c:v>
                </c:pt>
                <c:pt idx="6">
                  <c:v>2015.8734887226722</c:v>
                </c:pt>
                <c:pt idx="7">
                  <c:v>2125.2285687884842</c:v>
                </c:pt>
                <c:pt idx="8">
                  <c:v>2243.4568447004276</c:v>
                </c:pt>
                <c:pt idx="9">
                  <c:v>2372.9121247368535</c:v>
                </c:pt>
                <c:pt idx="10">
                  <c:v>2512.3419217258552</c:v>
                </c:pt>
                <c:pt idx="11">
                  <c:v>2662.5108439094047</c:v>
                </c:pt>
                <c:pt idx="12">
                  <c:v>2822.8170197954519</c:v>
                </c:pt>
                <c:pt idx="13">
                  <c:v>2982.9320298513212</c:v>
                </c:pt>
                <c:pt idx="14">
                  <c:v>3152.9463726742042</c:v>
                </c:pt>
                <c:pt idx="15">
                  <c:v>3334.3537317940577</c:v>
                </c:pt>
                <c:pt idx="16">
                  <c:v>3524.380918330538</c:v>
                </c:pt>
                <c:pt idx="17">
                  <c:v>3705.0372039494418</c:v>
                </c:pt>
                <c:pt idx="18">
                  <c:v>3899.442535935153</c:v>
                </c:pt>
                <c:pt idx="19">
                  <c:v>4105.72130716846</c:v>
                </c:pt>
                <c:pt idx="20">
                  <c:v>4328.4526019921759</c:v>
                </c:pt>
                <c:pt idx="21">
                  <c:v>4568.1667055327089</c:v>
                </c:pt>
                <c:pt idx="22">
                  <c:v>4802.204715995329</c:v>
                </c:pt>
                <c:pt idx="23">
                  <c:v>5049.5977108586703</c:v>
                </c:pt>
                <c:pt idx="24">
                  <c:v>5314.0209259383182</c:v>
                </c:pt>
                <c:pt idx="25">
                  <c:v>5594.4072402482916</c:v>
                </c:pt>
                <c:pt idx="26">
                  <c:v>5890.6230717996714</c:v>
                </c:pt>
                <c:pt idx="27">
                  <c:v>6172.0951654673345</c:v>
                </c:pt>
                <c:pt idx="28">
                  <c:v>6466.3351780180938</c:v>
                </c:pt>
                <c:pt idx="29">
                  <c:v>6776.8973984133399</c:v>
                </c:pt>
                <c:pt idx="30">
                  <c:v>7096.8904513652251</c:v>
                </c:pt>
                <c:pt idx="31">
                  <c:v>7435.2464345254994</c:v>
                </c:pt>
                <c:pt idx="32">
                  <c:v>7789.2318283601917</c:v>
                </c:pt>
                <c:pt idx="33">
                  <c:v>8159.0038752649298</c:v>
                </c:pt>
              </c:numCache>
            </c:numRef>
          </c:val>
          <c:smooth val="0"/>
          <c:extLst>
            <c:ext xmlns:c16="http://schemas.microsoft.com/office/drawing/2014/chart" uri="{C3380CC4-5D6E-409C-BE32-E72D297353CC}">
              <c16:uniqueId val="{00000001-28CD-4AA9-9ADB-5C1E76E47818}"/>
            </c:ext>
          </c:extLst>
        </c:ser>
        <c:ser>
          <c:idx val="2"/>
          <c:order val="2"/>
          <c:tx>
            <c:strRef>
              <c:f>'hh.inc.regressions'!$G$42</c:f>
              <c:strCache>
                <c:ptCount val="1"/>
                <c:pt idx="0">
                  <c:v>sim2</c:v>
                </c:pt>
              </c:strCache>
            </c:strRef>
          </c:tx>
          <c:marker>
            <c:symbol val="none"/>
          </c:marker>
          <c:cat>
            <c:numRef>
              <c:f>'hh.inc.regressions'!$D$43:$D$76</c:f>
              <c:numCache>
                <c:formatCode>General</c:formatCode>
                <c:ptCount val="3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numCache>
            </c:numRef>
          </c:cat>
          <c:val>
            <c:numRef>
              <c:f>'hh.inc.regressions'!$G$43:$G$76</c:f>
              <c:numCache>
                <c:formatCode>General</c:formatCode>
                <c:ptCount val="34"/>
                <c:pt idx="0">
                  <c:v>1763.1558581692218</c:v>
                </c:pt>
                <c:pt idx="1">
                  <c:v>1804.5324384714395</c:v>
                </c:pt>
                <c:pt idx="2">
                  <c:v>1845.896449921428</c:v>
                </c:pt>
                <c:pt idx="3">
                  <c:v>1888.3156917559745</c:v>
                </c:pt>
                <c:pt idx="4">
                  <c:v>1931.1272158145937</c:v>
                </c:pt>
                <c:pt idx="5">
                  <c:v>1973.9258875658425</c:v>
                </c:pt>
                <c:pt idx="6">
                  <c:v>2015.8926891888721</c:v>
                </c:pt>
                <c:pt idx="7">
                  <c:v>2134.6485227042567</c:v>
                </c:pt>
                <c:pt idx="8">
                  <c:v>2264.7660919744121</c:v>
                </c:pt>
                <c:pt idx="9">
                  <c:v>2408.0828352729163</c:v>
                </c:pt>
                <c:pt idx="10">
                  <c:v>2564.3811645043311</c:v>
                </c:pt>
                <c:pt idx="11">
                  <c:v>2732.6186939522868</c:v>
                </c:pt>
                <c:pt idx="12">
                  <c:v>2913.9736207404035</c:v>
                </c:pt>
                <c:pt idx="13">
                  <c:v>3074.1397996180403</c:v>
                </c:pt>
                <c:pt idx="14">
                  <c:v>3251.7888537942035</c:v>
                </c:pt>
                <c:pt idx="15">
                  <c:v>3443.4370327230645</c:v>
                </c:pt>
                <c:pt idx="16">
                  <c:v>3647.212154595808</c:v>
                </c:pt>
                <c:pt idx="17">
                  <c:v>3854.7657019886888</c:v>
                </c:pt>
                <c:pt idx="18">
                  <c:v>4076.8453422388015</c:v>
                </c:pt>
                <c:pt idx="19">
                  <c:v>4318.8241166424696</c:v>
                </c:pt>
                <c:pt idx="20">
                  <c:v>4582.4672019976688</c:v>
                </c:pt>
                <c:pt idx="21">
                  <c:v>4869.0430946840424</c:v>
                </c:pt>
                <c:pt idx="22">
                  <c:v>5112.8282818774069</c:v>
                </c:pt>
                <c:pt idx="23">
                  <c:v>5369.0713903467631</c:v>
                </c:pt>
                <c:pt idx="24">
                  <c:v>5639.5160940356645</c:v>
                </c:pt>
                <c:pt idx="25">
                  <c:v>5924.2880315986222</c:v>
                </c:pt>
                <c:pt idx="26">
                  <c:v>6226.2565481138354</c:v>
                </c:pt>
                <c:pt idx="27">
                  <c:v>6465.3371340913081</c:v>
                </c:pt>
                <c:pt idx="28">
                  <c:v>6709.302915714009</c:v>
                </c:pt>
                <c:pt idx="29">
                  <c:v>6959.6764699789928</c:v>
                </c:pt>
                <c:pt idx="30">
                  <c:v>7209.3469667720428</c:v>
                </c:pt>
                <c:pt idx="31">
                  <c:v>7467.8125140569819</c:v>
                </c:pt>
                <c:pt idx="32">
                  <c:v>7731.1803166904247</c:v>
                </c:pt>
                <c:pt idx="33">
                  <c:v>7999.1433416400678</c:v>
                </c:pt>
              </c:numCache>
            </c:numRef>
          </c:val>
          <c:smooth val="0"/>
          <c:extLst>
            <c:ext xmlns:c16="http://schemas.microsoft.com/office/drawing/2014/chart" uri="{C3380CC4-5D6E-409C-BE32-E72D297353CC}">
              <c16:uniqueId val="{00000002-28CD-4AA9-9ADB-5C1E76E47818}"/>
            </c:ext>
          </c:extLst>
        </c:ser>
        <c:ser>
          <c:idx val="3"/>
          <c:order val="3"/>
          <c:tx>
            <c:strRef>
              <c:f>'hh.inc.regressions'!$H$42</c:f>
              <c:strCache>
                <c:ptCount val="1"/>
                <c:pt idx="0">
                  <c:v>sim3</c:v>
                </c:pt>
              </c:strCache>
            </c:strRef>
          </c:tx>
          <c:marker>
            <c:symbol val="none"/>
          </c:marker>
          <c:cat>
            <c:numRef>
              <c:f>'hh.inc.regressions'!$D$43:$D$76</c:f>
              <c:numCache>
                <c:formatCode>General</c:formatCode>
                <c:ptCount val="3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numCache>
            </c:numRef>
          </c:cat>
          <c:val>
            <c:numRef>
              <c:f>'hh.inc.regressions'!$H$43:$H$76</c:f>
              <c:numCache>
                <c:formatCode>General</c:formatCode>
                <c:ptCount val="34"/>
                <c:pt idx="0">
                  <c:v>1763.1558581692218</c:v>
                </c:pt>
                <c:pt idx="1">
                  <c:v>1804.5324384714449</c:v>
                </c:pt>
                <c:pt idx="2">
                  <c:v>1845.8977683519047</c:v>
                </c:pt>
                <c:pt idx="3">
                  <c:v>1888.3134351879098</c:v>
                </c:pt>
                <c:pt idx="4">
                  <c:v>1931.1125690784909</c:v>
                </c:pt>
                <c:pt idx="5">
                  <c:v>1973.8932877942</c:v>
                </c:pt>
                <c:pt idx="6">
                  <c:v>2015.8333868574296</c:v>
                </c:pt>
                <c:pt idx="7">
                  <c:v>2083.8441859478016</c:v>
                </c:pt>
                <c:pt idx="8">
                  <c:v>2156.1052907831308</c:v>
                </c:pt>
                <c:pt idx="9">
                  <c:v>2233.9287976817832</c:v>
                </c:pt>
                <c:pt idx="10">
                  <c:v>2315.8913320826855</c:v>
                </c:pt>
                <c:pt idx="11">
                  <c:v>2402.2852291726103</c:v>
                </c:pt>
                <c:pt idx="12">
                  <c:v>2492.0511773491048</c:v>
                </c:pt>
                <c:pt idx="13">
                  <c:v>2572.5298796718262</c:v>
                </c:pt>
                <c:pt idx="14">
                  <c:v>2654.6686716431695</c:v>
                </c:pt>
                <c:pt idx="15">
                  <c:v>2740.0591857597337</c:v>
                </c:pt>
                <c:pt idx="16">
                  <c:v>2827.3249959927371</c:v>
                </c:pt>
                <c:pt idx="17">
                  <c:v>2913.8053754328616</c:v>
                </c:pt>
                <c:pt idx="18">
                  <c:v>3003.5299214658958</c:v>
                </c:pt>
                <c:pt idx="19">
                  <c:v>3095.3998725306437</c:v>
                </c:pt>
                <c:pt idx="20">
                  <c:v>3188.9090436042957</c:v>
                </c:pt>
                <c:pt idx="21">
                  <c:v>3286.3752528453142</c:v>
                </c:pt>
                <c:pt idx="22">
                  <c:v>3362.2815747924487</c:v>
                </c:pt>
                <c:pt idx="23">
                  <c:v>3440.1477081609955</c:v>
                </c:pt>
                <c:pt idx="24">
                  <c:v>3521.041569559924</c:v>
                </c:pt>
                <c:pt idx="25">
                  <c:v>3603.8827609667151</c:v>
                </c:pt>
                <c:pt idx="26">
                  <c:v>3686.8624276283931</c:v>
                </c:pt>
                <c:pt idx="27">
                  <c:v>3764.0265567592905</c:v>
                </c:pt>
                <c:pt idx="28">
                  <c:v>3842.1852333286542</c:v>
                </c:pt>
                <c:pt idx="29">
                  <c:v>3922.2991365774519</c:v>
                </c:pt>
                <c:pt idx="30">
                  <c:v>3999.1888853837904</c:v>
                </c:pt>
                <c:pt idx="31">
                  <c:v>4078.4002297507827</c:v>
                </c:pt>
                <c:pt idx="32">
                  <c:v>4158.8424227786982</c:v>
                </c:pt>
                <c:pt idx="33">
                  <c:v>4239.0439755736879</c:v>
                </c:pt>
              </c:numCache>
            </c:numRef>
          </c:val>
          <c:smooth val="0"/>
          <c:extLst>
            <c:ext xmlns:c16="http://schemas.microsoft.com/office/drawing/2014/chart" uri="{C3380CC4-5D6E-409C-BE32-E72D297353CC}">
              <c16:uniqueId val="{00000003-28CD-4AA9-9ADB-5C1E76E47818}"/>
            </c:ext>
          </c:extLst>
        </c:ser>
        <c:ser>
          <c:idx val="4"/>
          <c:order val="4"/>
          <c:tx>
            <c:strRef>
              <c:f>'hh.inc.regressions'!$I$42</c:f>
              <c:strCache>
                <c:ptCount val="1"/>
                <c:pt idx="0">
                  <c:v>sim4</c:v>
                </c:pt>
              </c:strCache>
            </c:strRef>
          </c:tx>
          <c:marker>
            <c:symbol val="none"/>
          </c:marker>
          <c:cat>
            <c:numRef>
              <c:f>'hh.inc.regressions'!$D$43:$D$76</c:f>
              <c:numCache>
                <c:formatCode>General</c:formatCode>
                <c:ptCount val="3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numCache>
            </c:numRef>
          </c:cat>
          <c:val>
            <c:numRef>
              <c:f>'hh.inc.regressions'!$I$43:$I$76</c:f>
              <c:numCache>
                <c:formatCode>General</c:formatCode>
                <c:ptCount val="34"/>
                <c:pt idx="0">
                  <c:v>1763.1558581692218</c:v>
                </c:pt>
                <c:pt idx="1">
                  <c:v>1804.5324384474238</c:v>
                </c:pt>
                <c:pt idx="2">
                  <c:v>1845.8968588036148</c:v>
                </c:pt>
                <c:pt idx="3">
                  <c:v>1888.3150910744359</c:v>
                </c:pt>
                <c:pt idx="4">
                  <c:v>1931.1229445448678</c:v>
                </c:pt>
                <c:pt idx="5">
                  <c:v>1973.946525324161</c:v>
                </c:pt>
                <c:pt idx="6">
                  <c:v>2015.8801291450152</c:v>
                </c:pt>
                <c:pt idx="7">
                  <c:v>2128.2478562048063</c:v>
                </c:pt>
                <c:pt idx="8">
                  <c:v>2250.8627990792675</c:v>
                </c:pt>
                <c:pt idx="9">
                  <c:v>2385.4457589474341</c:v>
                </c:pt>
                <c:pt idx="10">
                  <c:v>2531.8401664943071</c:v>
                </c:pt>
                <c:pt idx="11">
                  <c:v>2689.1682254151392</c:v>
                </c:pt>
                <c:pt idx="12">
                  <c:v>2858.6481409214584</c:v>
                </c:pt>
                <c:pt idx="13">
                  <c:v>3012.1997327828662</c:v>
                </c:pt>
                <c:pt idx="14">
                  <c:v>3173.3505971134946</c:v>
                </c:pt>
                <c:pt idx="15">
                  <c:v>3345.2580532299444</c:v>
                </c:pt>
                <c:pt idx="16">
                  <c:v>3527.1891163017599</c:v>
                </c:pt>
                <c:pt idx="17">
                  <c:v>3698.9258063931475</c:v>
                </c:pt>
                <c:pt idx="18">
                  <c:v>3881.3933779435947</c:v>
                </c:pt>
                <c:pt idx="19">
                  <c:v>4076.5172269210834</c:v>
                </c:pt>
                <c:pt idx="20">
                  <c:v>4286.8240018188781</c:v>
                </c:pt>
                <c:pt idx="21">
                  <c:v>4511.9072074574478</c:v>
                </c:pt>
                <c:pt idx="22">
                  <c:v>4666.9037095168569</c:v>
                </c:pt>
                <c:pt idx="23">
                  <c:v>4825.4049874442981</c:v>
                </c:pt>
                <c:pt idx="24">
                  <c:v>4989.2076829818116</c:v>
                </c:pt>
                <c:pt idx="25">
                  <c:v>5157.4154035218862</c:v>
                </c:pt>
                <c:pt idx="26">
                  <c:v>5330.448210179823</c:v>
                </c:pt>
                <c:pt idx="27">
                  <c:v>5485.3533253499227</c:v>
                </c:pt>
                <c:pt idx="28">
                  <c:v>5640.4896982310347</c:v>
                </c:pt>
                <c:pt idx="29">
                  <c:v>5795.8544683642267</c:v>
                </c:pt>
                <c:pt idx="30">
                  <c:v>5946.5562659369425</c:v>
                </c:pt>
                <c:pt idx="31">
                  <c:v>6100.8060062790655</c:v>
                </c:pt>
                <c:pt idx="32">
                  <c:v>6254.363676660776</c:v>
                </c:pt>
                <c:pt idx="33">
                  <c:v>6406.6094070572726</c:v>
                </c:pt>
              </c:numCache>
            </c:numRef>
          </c:val>
          <c:smooth val="0"/>
          <c:extLst>
            <c:ext xmlns:c16="http://schemas.microsoft.com/office/drawing/2014/chart" uri="{C3380CC4-5D6E-409C-BE32-E72D297353CC}">
              <c16:uniqueId val="{00000004-28CD-4AA9-9ADB-5C1E76E47818}"/>
            </c:ext>
          </c:extLst>
        </c:ser>
        <c:dLbls>
          <c:showLegendKey val="0"/>
          <c:showVal val="0"/>
          <c:showCatName val="0"/>
          <c:showSerName val="0"/>
          <c:showPercent val="0"/>
          <c:showBubbleSize val="0"/>
        </c:dLbls>
        <c:smooth val="0"/>
        <c:axId val="515094224"/>
        <c:axId val="515094616"/>
      </c:lineChart>
      <c:catAx>
        <c:axId val="515094224"/>
        <c:scaling>
          <c:orientation val="minMax"/>
        </c:scaling>
        <c:delete val="0"/>
        <c:axPos val="b"/>
        <c:numFmt formatCode="General" sourceLinked="1"/>
        <c:majorTickMark val="out"/>
        <c:minorTickMark val="none"/>
        <c:tickLblPos val="nextTo"/>
        <c:crossAx val="515094616"/>
        <c:crosses val="autoZero"/>
        <c:auto val="1"/>
        <c:lblAlgn val="ctr"/>
        <c:lblOffset val="100"/>
        <c:noMultiLvlLbl val="0"/>
      </c:catAx>
      <c:valAx>
        <c:axId val="515094616"/>
        <c:scaling>
          <c:orientation val="minMax"/>
        </c:scaling>
        <c:delete val="0"/>
        <c:axPos val="l"/>
        <c:majorGridlines/>
        <c:numFmt formatCode="General" sourceLinked="1"/>
        <c:majorTickMark val="out"/>
        <c:minorTickMark val="none"/>
        <c:tickLblPos val="nextTo"/>
        <c:crossAx val="5150942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'hh.inc.regressions'!$F$83</c:f>
              <c:strCache>
                <c:ptCount val="1"/>
                <c:pt idx="0">
                  <c:v>hhd-le</c:v>
                </c:pt>
              </c:strCache>
            </c:strRef>
          </c:tx>
          <c:spPr>
            <a:ln w="28575">
              <a:noFill/>
            </a:ln>
          </c:spPr>
          <c:trendline>
            <c:trendlineType val="power"/>
            <c:forward val="4"/>
            <c:dispRSqr val="1"/>
            <c:dispEq val="1"/>
            <c:trendlineLbl>
              <c:layout>
                <c:manualLayout>
                  <c:x val="0.12871489673171499"/>
                  <c:y val="6.4056697807137603E-2"/>
                </c:manualLayout>
              </c:layout>
              <c:numFmt formatCode="General" sourceLinked="0"/>
            </c:trendlineLbl>
          </c:trendline>
          <c:xVal>
            <c:numRef>
              <c:f>'hh.inc.regressions'!$E$84:$E$253</c:f>
              <c:numCache>
                <c:formatCode>General</c:formatCode>
                <c:ptCount val="170"/>
                <c:pt idx="0">
                  <c:v>1</c:v>
                </c:pt>
                <c:pt idx="1">
                  <c:v>1.0234673413071198</c:v>
                </c:pt>
                <c:pt idx="2">
                  <c:v>1.046928407299635</c:v>
                </c:pt>
                <c:pt idx="3">
                  <c:v>1.0709847508968577</c:v>
                </c:pt>
                <c:pt idx="4">
                  <c:v>1.0952578438583667</c:v>
                </c:pt>
                <c:pt idx="5">
                  <c:v>1.1195371697144316</c:v>
                </c:pt>
                <c:pt idx="6">
                  <c:v>1.1433075552901772</c:v>
                </c:pt>
                <c:pt idx="7">
                  <c:v>1.1663622092972685</c:v>
                </c:pt>
                <c:pt idx="8">
                  <c:v>1.1903171466802214</c:v>
                </c:pt>
                <c:pt idx="9">
                  <c:v>1.2158822394205109</c:v>
                </c:pt>
                <c:pt idx="10">
                  <c:v>1.2422132820938228</c:v>
                </c:pt>
                <c:pt idx="11">
                  <c:v>1.2692919683627784</c:v>
                </c:pt>
                <c:pt idx="12">
                  <c:v>1.2965100785412003</c:v>
                </c:pt>
                <c:pt idx="13">
                  <c:v>1.3244546992562132</c:v>
                </c:pt>
                <c:pt idx="14">
                  <c:v>1.3523000270119017</c:v>
                </c:pt>
                <c:pt idx="15">
                  <c:v>1.3806489843284251</c:v>
                </c:pt>
                <c:pt idx="16">
                  <c:v>1.4089166803603983</c:v>
                </c:pt>
                <c:pt idx="17">
                  <c:v>1.4380130724792715</c:v>
                </c:pt>
                <c:pt idx="18">
                  <c:v>1.4682415179192976</c:v>
                </c:pt>
                <c:pt idx="19">
                  <c:v>1.4999649113180205</c:v>
                </c:pt>
                <c:pt idx="20">
                  <c:v>1.5317018366520871</c:v>
                </c:pt>
                <c:pt idx="21">
                  <c:v>1.5631482567011028</c:v>
                </c:pt>
                <c:pt idx="22">
                  <c:v>1.5946771765828738</c:v>
                </c:pt>
                <c:pt idx="23">
                  <c:v>1.626434892866619</c:v>
                </c:pt>
                <c:pt idx="24">
                  <c:v>1.6609138933334202</c:v>
                </c:pt>
                <c:pt idx="25">
                  <c:v>1.6973603351399855</c:v>
                </c:pt>
                <c:pt idx="26">
                  <c:v>1.7354863941264391</c:v>
                </c:pt>
                <c:pt idx="27">
                  <c:v>1.7752554491278587</c:v>
                </c:pt>
                <c:pt idx="28">
                  <c:v>1.81542173575882</c:v>
                </c:pt>
                <c:pt idx="29">
                  <c:v>1.8565814433503236</c:v>
                </c:pt>
                <c:pt idx="30">
                  <c:v>1.8968743247117836</c:v>
                </c:pt>
                <c:pt idx="31">
                  <c:v>1.9394964876996652</c:v>
                </c:pt>
                <c:pt idx="32">
                  <c:v>1.9837517482993714</c:v>
                </c:pt>
                <c:pt idx="33">
                  <c:v>2.0283473091612896</c:v>
                </c:pt>
                <c:pt idx="34">
                  <c:v>1</c:v>
                </c:pt>
                <c:pt idx="35">
                  <c:v>1.0234673413076383</c:v>
                </c:pt>
                <c:pt idx="36">
                  <c:v>1.0469278710910062</c:v>
                </c:pt>
                <c:pt idx="37">
                  <c:v>1.0709857782008951</c:v>
                </c:pt>
                <c:pt idx="38">
                  <c:v>1.0952641014540259</c:v>
                </c:pt>
                <c:pt idx="39">
                  <c:v>1.119550989571485</c:v>
                </c:pt>
                <c:pt idx="40">
                  <c:v>1.1433325530369507</c:v>
                </c:pt>
                <c:pt idx="41">
                  <c:v>1.2053549088934326</c:v>
                </c:pt>
                <c:pt idx="42">
                  <c:v>1.272409829400974</c:v>
                </c:pt>
                <c:pt idx="43">
                  <c:v>1.3458323118415487</c:v>
                </c:pt>
                <c:pt idx="44">
                  <c:v>1.424911989535941</c:v>
                </c:pt>
                <c:pt idx="45">
                  <c:v>1.5100825213909512</c:v>
                </c:pt>
                <c:pt idx="46">
                  <c:v>1.6010025470615696</c:v>
                </c:pt>
                <c:pt idx="47">
                  <c:v>1.6918141501958073</c:v>
                </c:pt>
                <c:pt idx="48">
                  <c:v>1.7882403067577222</c:v>
                </c:pt>
                <c:pt idx="49">
                  <c:v>1.8911281815189578</c:v>
                </c:pt>
                <c:pt idx="50">
                  <c:v>1.9989049192679367</c:v>
                </c:pt>
                <c:pt idx="51">
                  <c:v>2.1013668115515203</c:v>
                </c:pt>
                <c:pt idx="52">
                  <c:v>2.211626679438397</c:v>
                </c:pt>
                <c:pt idx="53">
                  <c:v>2.3286207445277403</c:v>
                </c:pt>
                <c:pt idx="54">
                  <c:v>2.4549461024317147</c:v>
                </c:pt>
                <c:pt idx="55">
                  <c:v>2.5909035122261277</c:v>
                </c:pt>
                <c:pt idx="56">
                  <c:v>2.7236416416309974</c:v>
                </c:pt>
                <c:pt idx="57">
                  <c:v>2.8639542485494931</c:v>
                </c:pt>
                <c:pt idx="58">
                  <c:v>3.013925797493676</c:v>
                </c:pt>
                <c:pt idx="59">
                  <c:v>3.1729510549664401</c:v>
                </c:pt>
                <c:pt idx="60">
                  <c:v>3.3409542579611866</c:v>
                </c:pt>
                <c:pt idx="61">
                  <c:v>3.5005953313033529</c:v>
                </c:pt>
                <c:pt idx="62">
                  <c:v>3.6674779192421663</c:v>
                </c:pt>
                <c:pt idx="63">
                  <c:v>3.8436178894871786</c:v>
                </c:pt>
                <c:pt idx="64">
                  <c:v>4.0251066963157207</c:v>
                </c:pt>
                <c:pt idx="65">
                  <c:v>4.217010311411669</c:v>
                </c:pt>
                <c:pt idx="66">
                  <c:v>4.4177783786217084</c:v>
                </c:pt>
                <c:pt idx="67">
                  <c:v>4.6275000803030855</c:v>
                </c:pt>
                <c:pt idx="68">
                  <c:v>1</c:v>
                </c:pt>
                <c:pt idx="69">
                  <c:v>1.0234673413076376</c:v>
                </c:pt>
                <c:pt idx="70">
                  <c:v>1.0469275540042842</c:v>
                </c:pt>
                <c:pt idx="71">
                  <c:v>1.0709862562670511</c:v>
                </c:pt>
                <c:pt idx="72">
                  <c:v>1.0952674472124009</c:v>
                </c:pt>
                <c:pt idx="73">
                  <c:v>1.1195413487809718</c:v>
                </c:pt>
                <c:pt idx="74">
                  <c:v>1.1433434428661799</c:v>
                </c:pt>
                <c:pt idx="75">
                  <c:v>1.210697575494418</c:v>
                </c:pt>
                <c:pt idx="76">
                  <c:v>1.2844956850984455</c:v>
                </c:pt>
                <c:pt idx="77">
                  <c:v>1.3657799020520831</c:v>
                </c:pt>
                <c:pt idx="78">
                  <c:v>1.4544268180392537</c:v>
                </c:pt>
                <c:pt idx="79">
                  <c:v>1.5498452285379409</c:v>
                </c:pt>
                <c:pt idx="80">
                  <c:v>1.6527033655244392</c:v>
                </c:pt>
                <c:pt idx="81">
                  <c:v>1.7435439898149916</c:v>
                </c:pt>
                <c:pt idx="82">
                  <c:v>1.8443002861758961</c:v>
                </c:pt>
                <c:pt idx="83">
                  <c:v>1.9529963938063692</c:v>
                </c:pt>
                <c:pt idx="84">
                  <c:v>2.0685704770211872</c:v>
                </c:pt>
                <c:pt idx="85">
                  <c:v>2.186287550319741</c:v>
                </c:pt>
                <c:pt idx="86">
                  <c:v>2.31224331266551</c:v>
                </c:pt>
                <c:pt idx="87">
                  <c:v>2.4494851641345727</c:v>
                </c:pt>
                <c:pt idx="88">
                  <c:v>2.5990142509329193</c:v>
                </c:pt>
                <c:pt idx="89">
                  <c:v>2.7615500195994178</c:v>
                </c:pt>
                <c:pt idx="90">
                  <c:v>2.8998164048788788</c:v>
                </c:pt>
                <c:pt idx="91">
                  <c:v>3.0451484850135455</c:v>
                </c:pt>
                <c:pt idx="92">
                  <c:v>3.1985352105465443</c:v>
                </c:pt>
                <c:pt idx="93">
                  <c:v>3.3600478393045323</c:v>
                </c:pt>
                <c:pt idx="94">
                  <c:v>3.5313137629131028</c:v>
                </c:pt>
                <c:pt idx="95">
                  <c:v>3.6669118638238882</c:v>
                </c:pt>
                <c:pt idx="96">
                  <c:v>3.8052806759129245</c:v>
                </c:pt>
                <c:pt idx="97">
                  <c:v>3.9472837513103318</c:v>
                </c:pt>
                <c:pt idx="98">
                  <c:v>4.0888880772332232</c:v>
                </c:pt>
                <c:pt idx="99">
                  <c:v>4.2354806465102905</c:v>
                </c:pt>
                <c:pt idx="100">
                  <c:v>4.3848536026293896</c:v>
                </c:pt>
                <c:pt idx="101">
                  <c:v>4.5368328072516526</c:v>
                </c:pt>
                <c:pt idx="102">
                  <c:v>1</c:v>
                </c:pt>
                <c:pt idx="103">
                  <c:v>1.0234673413076407</c:v>
                </c:pt>
                <c:pt idx="104">
                  <c:v>1.0469283017716868</c:v>
                </c:pt>
                <c:pt idx="105">
                  <c:v>1.0709849764209987</c:v>
                </c:pt>
                <c:pt idx="106">
                  <c:v>1.0952591400987475</c:v>
                </c:pt>
                <c:pt idx="107">
                  <c:v>1.1195228593368927</c:v>
                </c:pt>
                <c:pt idx="108">
                  <c:v>1.1433098086691986</c:v>
                </c:pt>
                <c:pt idx="109">
                  <c:v>1.1818831422603602</c:v>
                </c:pt>
                <c:pt idx="110">
                  <c:v>1.2228670998047384</c:v>
                </c:pt>
                <c:pt idx="111">
                  <c:v>1.2670058561932183</c:v>
                </c:pt>
                <c:pt idx="112">
                  <c:v>1.3134921234288375</c:v>
                </c:pt>
                <c:pt idx="113">
                  <c:v>1.3624917037493387</c:v>
                </c:pt>
                <c:pt idx="114">
                  <c:v>1.4134037928653305</c:v>
                </c:pt>
                <c:pt idx="115">
                  <c:v>1.4590484827263202</c:v>
                </c:pt>
                <c:pt idx="116">
                  <c:v>1.5056347170576587</c:v>
                </c:pt>
                <c:pt idx="117">
                  <c:v>1.5540652138404158</c:v>
                </c:pt>
                <c:pt idx="118">
                  <c:v>1.6035593126341641</c:v>
                </c:pt>
                <c:pt idx="119">
                  <c:v>1.6526079427024791</c:v>
                </c:pt>
                <c:pt idx="120">
                  <c:v>1.703496549978639</c:v>
                </c:pt>
                <c:pt idx="121">
                  <c:v>1.7556019555439424</c:v>
                </c:pt>
                <c:pt idx="122">
                  <c:v>1.8086370690538436</c:v>
                </c:pt>
                <c:pt idx="123">
                  <c:v>1.8639164754599358</c:v>
                </c:pt>
                <c:pt idx="124">
                  <c:v>1.9069678719632217</c:v>
                </c:pt>
                <c:pt idx="125">
                  <c:v>1.9511308045864324</c:v>
                </c:pt>
                <c:pt idx="126">
                  <c:v>1.9970109580760536</c:v>
                </c:pt>
                <c:pt idx="127">
                  <c:v>2.0439955686667526</c:v>
                </c:pt>
                <c:pt idx="128">
                  <c:v>2.0910587175524333</c:v>
                </c:pt>
                <c:pt idx="129">
                  <c:v>2.134823498058577</c:v>
                </c:pt>
                <c:pt idx="130">
                  <c:v>2.1791523508977808</c:v>
                </c:pt>
                <c:pt idx="131">
                  <c:v>2.2245901395524856</c:v>
                </c:pt>
                <c:pt idx="132">
                  <c:v>2.2681993011873383</c:v>
                </c:pt>
                <c:pt idx="133">
                  <c:v>2.3131251901834715</c:v>
                </c:pt>
                <c:pt idx="134">
                  <c:v>2.3587491732563248</c:v>
                </c:pt>
                <c:pt idx="135">
                  <c:v>2.404236673651365</c:v>
                </c:pt>
                <c:pt idx="136">
                  <c:v>1</c:v>
                </c:pt>
                <c:pt idx="137">
                  <c:v>1.0234673412940167</c:v>
                </c:pt>
                <c:pt idx="138">
                  <c:v>1.0469277859078818</c:v>
                </c:pt>
                <c:pt idx="139">
                  <c:v>1.0709859155816057</c:v>
                </c:pt>
                <c:pt idx="140">
                  <c:v>1.095265024698415</c:v>
                </c:pt>
                <c:pt idx="141">
                  <c:v>1.1195530537917473</c:v>
                </c:pt>
                <c:pt idx="142">
                  <c:v>1.143336319250988</c:v>
                </c:pt>
                <c:pt idx="143">
                  <c:v>1.2070673425403691</c:v>
                </c:pt>
                <c:pt idx="144">
                  <c:v>1.2766102262884789</c:v>
                </c:pt>
                <c:pt idx="145">
                  <c:v>1.3529409484107484</c:v>
                </c:pt>
                <c:pt idx="146">
                  <c:v>1.4359707082975925</c:v>
                </c:pt>
                <c:pt idx="147">
                  <c:v>1.5252016507533515</c:v>
                </c:pt>
                <c:pt idx="148">
                  <c:v>1.6213246989348657</c:v>
                </c:pt>
                <c:pt idx="149">
                  <c:v>1.7084137620769346</c:v>
                </c:pt>
                <c:pt idx="150">
                  <c:v>1.7998128653291903</c:v>
                </c:pt>
                <c:pt idx="151">
                  <c:v>1.897312729178408</c:v>
                </c:pt>
                <c:pt idx="152">
                  <c:v>2.0004976304047375</c:v>
                </c:pt>
                <c:pt idx="153">
                  <c:v>2.0979006417696606</c:v>
                </c:pt>
                <c:pt idx="154">
                  <c:v>2.2013898317383305</c:v>
                </c:pt>
                <c:pt idx="155">
                  <c:v>2.3120572171957319</c:v>
                </c:pt>
                <c:pt idx="156">
                  <c:v>2.431335824315676</c:v>
                </c:pt>
                <c:pt idx="157">
                  <c:v>2.5589951033270539</c:v>
                </c:pt>
                <c:pt idx="158">
                  <c:v>2.6469036687220324</c:v>
                </c:pt>
                <c:pt idx="159">
                  <c:v>2.7368000197411768</c:v>
                </c:pt>
                <c:pt idx="160">
                  <c:v>2.8297031484002613</c:v>
                </c:pt>
                <c:pt idx="161">
                  <c:v>2.9251046523346518</c:v>
                </c:pt>
                <c:pt idx="162">
                  <c:v>3.0232427754371698</c:v>
                </c:pt>
                <c:pt idx="163">
                  <c:v>3.1110995094022238</c:v>
                </c:pt>
                <c:pt idx="164">
                  <c:v>3.1990874046086057</c:v>
                </c:pt>
                <c:pt idx="165">
                  <c:v>3.2872048387045996</c:v>
                </c:pt>
                <c:pt idx="166">
                  <c:v>3.3726775987413653</c:v>
                </c:pt>
                <c:pt idx="167">
                  <c:v>3.4601626271507588</c:v>
                </c:pt>
                <c:pt idx="168">
                  <c:v>3.5472551378157875</c:v>
                </c:pt>
                <c:pt idx="169">
                  <c:v>3.6336035622565976</c:v>
                </c:pt>
              </c:numCache>
            </c:numRef>
          </c:xVal>
          <c:yVal>
            <c:numRef>
              <c:f>'hh.inc.regressions'!$F$84:$F$253</c:f>
              <c:numCache>
                <c:formatCode>General</c:formatCode>
                <c:ptCount val="170"/>
                <c:pt idx="0">
                  <c:v>0.50003199863472492</c:v>
                </c:pt>
                <c:pt idx="1">
                  <c:v>0.49083032025929479</c:v>
                </c:pt>
                <c:pt idx="2">
                  <c:v>0.48078921634160282</c:v>
                </c:pt>
                <c:pt idx="3">
                  <c:v>0.47245797098666625</c:v>
                </c:pt>
                <c:pt idx="4">
                  <c:v>0.46466304555325494</c:v>
                </c:pt>
                <c:pt idx="5">
                  <c:v>0.45786418272191554</c:v>
                </c:pt>
                <c:pt idx="6">
                  <c:v>0.45237057995231905</c:v>
                </c:pt>
                <c:pt idx="7">
                  <c:v>0.4474410510739113</c:v>
                </c:pt>
                <c:pt idx="8">
                  <c:v>0.44169145516728003</c:v>
                </c:pt>
                <c:pt idx="9">
                  <c:v>0.43550762734205728</c:v>
                </c:pt>
                <c:pt idx="10">
                  <c:v>0.4291749964338013</c:v>
                </c:pt>
                <c:pt idx="11">
                  <c:v>0.42369219736938185</c:v>
                </c:pt>
                <c:pt idx="12">
                  <c:v>0.41824825517086295</c:v>
                </c:pt>
                <c:pt idx="13">
                  <c:v>0.41289247231287635</c:v>
                </c:pt>
                <c:pt idx="14">
                  <c:v>0.40781528639174419</c:v>
                </c:pt>
                <c:pt idx="15">
                  <c:v>0.40301839677722479</c:v>
                </c:pt>
                <c:pt idx="16">
                  <c:v>0.39833169703558774</c:v>
                </c:pt>
                <c:pt idx="17">
                  <c:v>0.39362016200898453</c:v>
                </c:pt>
                <c:pt idx="18">
                  <c:v>0.38889244452050048</c:v>
                </c:pt>
                <c:pt idx="19">
                  <c:v>0.3839890137875735</c:v>
                </c:pt>
                <c:pt idx="20">
                  <c:v>0.379286434164672</c:v>
                </c:pt>
                <c:pt idx="21">
                  <c:v>0.37488571784427555</c:v>
                </c:pt>
                <c:pt idx="22">
                  <c:v>0.37068090076317184</c:v>
                </c:pt>
                <c:pt idx="23">
                  <c:v>0.36657029281793774</c:v>
                </c:pt>
                <c:pt idx="24">
                  <c:v>0.36220101692941098</c:v>
                </c:pt>
                <c:pt idx="25">
                  <c:v>0.3574481052527787</c:v>
                </c:pt>
                <c:pt idx="26">
                  <c:v>0.35253688225541902</c:v>
                </c:pt>
                <c:pt idx="27">
                  <c:v>0.34755134583621405</c:v>
                </c:pt>
                <c:pt idx="28">
                  <c:v>0.34264235438856278</c:v>
                </c:pt>
                <c:pt idx="29">
                  <c:v>0.33787973824145034</c:v>
                </c:pt>
                <c:pt idx="30">
                  <c:v>0.33331127545953398</c:v>
                </c:pt>
                <c:pt idx="31">
                  <c:v>0.32878223413103491</c:v>
                </c:pt>
                <c:pt idx="32">
                  <c:v>0.32420683052261356</c:v>
                </c:pt>
                <c:pt idx="33">
                  <c:v>0.31984321123193693</c:v>
                </c:pt>
                <c:pt idx="34">
                  <c:v>0.50003199863472492</c:v>
                </c:pt>
                <c:pt idx="35">
                  <c:v>0.49083032025982193</c:v>
                </c:pt>
                <c:pt idx="36">
                  <c:v>0.48076691823611933</c:v>
                </c:pt>
                <c:pt idx="37">
                  <c:v>0.47240628873205703</c:v>
                </c:pt>
                <c:pt idx="38">
                  <c:v>0.46458251203599427</c:v>
                </c:pt>
                <c:pt idx="39">
                  <c:v>0.45775250263144918</c:v>
                </c:pt>
                <c:pt idx="40">
                  <c:v>0.45223087708767573</c:v>
                </c:pt>
                <c:pt idx="41">
                  <c:v>0.43776711067032625</c:v>
                </c:pt>
                <c:pt idx="42">
                  <c:v>0.42007324814905178</c:v>
                </c:pt>
                <c:pt idx="43">
                  <c:v>0.40214710066376314</c:v>
                </c:pt>
                <c:pt idx="44">
                  <c:v>0.38443283689319774</c:v>
                </c:pt>
                <c:pt idx="45">
                  <c:v>0.36782496675472226</c:v>
                </c:pt>
                <c:pt idx="46">
                  <c:v>0.35179412764858553</c:v>
                </c:pt>
                <c:pt idx="47">
                  <c:v>0.3372768582290081</c:v>
                </c:pt>
                <c:pt idx="48">
                  <c:v>0.32366902217868021</c:v>
                </c:pt>
                <c:pt idx="49">
                  <c:v>0.31059023195239255</c:v>
                </c:pt>
                <c:pt idx="50">
                  <c:v>0.29817726117062249</c:v>
                </c:pt>
                <c:pt idx="51">
                  <c:v>0.28757991483264128</c:v>
                </c:pt>
                <c:pt idx="52">
                  <c:v>0.27807476616084092</c:v>
                </c:pt>
                <c:pt idx="53">
                  <c:v>0.26865696972929848</c:v>
                </c:pt>
                <c:pt idx="54">
                  <c:v>0.25930037781021736</c:v>
                </c:pt>
                <c:pt idx="55">
                  <c:v>0.24964137635334743</c:v>
                </c:pt>
                <c:pt idx="56">
                  <c:v>0.24089416098442562</c:v>
                </c:pt>
                <c:pt idx="57">
                  <c:v>0.23262423403870691</c:v>
                </c:pt>
                <c:pt idx="58">
                  <c:v>0.22454185901059878</c:v>
                </c:pt>
                <c:pt idx="59">
                  <c:v>0.21669910556624253</c:v>
                </c:pt>
                <c:pt idx="60">
                  <c:v>0.20913924297243922</c:v>
                </c:pt>
                <c:pt idx="61">
                  <c:v>0.20278742359641061</c:v>
                </c:pt>
                <c:pt idx="62">
                  <c:v>0.1969125381610414</c:v>
                </c:pt>
                <c:pt idx="63">
                  <c:v>0.19115762784367857</c:v>
                </c:pt>
                <c:pt idx="64">
                  <c:v>0.18563341625914284</c:v>
                </c:pt>
                <c:pt idx="65">
                  <c:v>0.18022332692222309</c:v>
                </c:pt>
                <c:pt idx="66">
                  <c:v>0.17499045296079455</c:v>
                </c:pt>
                <c:pt idx="67">
                  <c:v>0.16997429262194147</c:v>
                </c:pt>
                <c:pt idx="68">
                  <c:v>0.50003199863472492</c:v>
                </c:pt>
                <c:pt idx="69">
                  <c:v>0.49083032025970963</c:v>
                </c:pt>
                <c:pt idx="70">
                  <c:v>0.48075416960886902</c:v>
                </c:pt>
                <c:pt idx="71">
                  <c:v>0.47237702657509617</c:v>
                </c:pt>
                <c:pt idx="72">
                  <c:v>0.46453710680116245</c:v>
                </c:pt>
                <c:pt idx="73">
                  <c:v>0.45771717775812115</c:v>
                </c:pt>
                <c:pt idx="74">
                  <c:v>0.45215994439759633</c:v>
                </c:pt>
                <c:pt idx="75">
                  <c:v>0.43441657919796162</c:v>
                </c:pt>
                <c:pt idx="76">
                  <c:v>0.41348732947694022</c:v>
                </c:pt>
                <c:pt idx="77">
                  <c:v>0.39274300727101102</c:v>
                </c:pt>
                <c:pt idx="78">
                  <c:v>0.37247586044525699</c:v>
                </c:pt>
                <c:pt idx="79">
                  <c:v>0.3536216808084911</c:v>
                </c:pt>
                <c:pt idx="80">
                  <c:v>0.33538524677688408</c:v>
                </c:pt>
                <c:pt idx="81">
                  <c:v>0.32064079838930726</c:v>
                </c:pt>
                <c:pt idx="82">
                  <c:v>0.30673133994794083</c:v>
                </c:pt>
                <c:pt idx="83">
                  <c:v>0.29313802007736561</c:v>
                </c:pt>
                <c:pt idx="84">
                  <c:v>0.2801406568947038</c:v>
                </c:pt>
                <c:pt idx="85">
                  <c:v>0.26808436137517389</c:v>
                </c:pt>
                <c:pt idx="86">
                  <c:v>0.25670999059493166</c:v>
                </c:pt>
                <c:pt idx="87">
                  <c:v>0.24548738869296965</c:v>
                </c:pt>
                <c:pt idx="88">
                  <c:v>0.234339430556709</c:v>
                </c:pt>
                <c:pt idx="89">
                  <c:v>0.22304725508220025</c:v>
                </c:pt>
                <c:pt idx="90">
                  <c:v>0.21381269471061989</c:v>
                </c:pt>
                <c:pt idx="91">
                  <c:v>0.20542682312147764</c:v>
                </c:pt>
                <c:pt idx="92">
                  <c:v>0.1974153433324822</c:v>
                </c:pt>
                <c:pt idx="93">
                  <c:v>0.18988971517996564</c:v>
                </c:pt>
                <c:pt idx="94">
                  <c:v>0.1826327202064105</c:v>
                </c:pt>
                <c:pt idx="95">
                  <c:v>0.17721421514012267</c:v>
                </c:pt>
                <c:pt idx="96">
                  <c:v>0.17229464376773485</c:v>
                </c:pt>
                <c:pt idx="97">
                  <c:v>0.16752554306854206</c:v>
                </c:pt>
                <c:pt idx="98">
                  <c:v>0.16305106091496185</c:v>
                </c:pt>
                <c:pt idx="99">
                  <c:v>0.15875868392667006</c:v>
                </c:pt>
                <c:pt idx="100">
                  <c:v>0.1546303800054549</c:v>
                </c:pt>
                <c:pt idx="101">
                  <c:v>0.15070000881860313</c:v>
                </c:pt>
                <c:pt idx="102">
                  <c:v>0.50003199863472492</c:v>
                </c:pt>
                <c:pt idx="103">
                  <c:v>0.49083032025981077</c:v>
                </c:pt>
                <c:pt idx="104">
                  <c:v>0.48078474573071961</c:v>
                </c:pt>
                <c:pt idx="105">
                  <c:v>0.47244755992945731</c:v>
                </c:pt>
                <c:pt idx="106">
                  <c:v>0.46464678776518309</c:v>
                </c:pt>
                <c:pt idx="107">
                  <c:v>0.45786916657402071</c:v>
                </c:pt>
                <c:pt idx="108">
                  <c:v>0.45234998896205209</c:v>
                </c:pt>
                <c:pt idx="109">
                  <c:v>0.44318799780020285</c:v>
                </c:pt>
                <c:pt idx="110">
                  <c:v>0.43226639662635291</c:v>
                </c:pt>
                <c:pt idx="111">
                  <c:v>0.42089157184581016</c:v>
                </c:pt>
                <c:pt idx="112">
                  <c:v>0.40946065899672485</c:v>
                </c:pt>
                <c:pt idx="113">
                  <c:v>0.39878667686227492</c:v>
                </c:pt>
                <c:pt idx="114">
                  <c:v>0.38823967337241827</c:v>
                </c:pt>
                <c:pt idx="115">
                  <c:v>0.379311190801503</c:v>
                </c:pt>
                <c:pt idx="116">
                  <c:v>0.37111151552973287</c:v>
                </c:pt>
                <c:pt idx="117">
                  <c:v>0.3631351075615708</c:v>
                </c:pt>
                <c:pt idx="118">
                  <c:v>0.35533143375549059</c:v>
                </c:pt>
                <c:pt idx="119">
                  <c:v>0.34794240617026329</c:v>
                </c:pt>
                <c:pt idx="120">
                  <c:v>0.34075510524708541</c:v>
                </c:pt>
                <c:pt idx="121">
                  <c:v>0.33384394655625638</c:v>
                </c:pt>
                <c:pt idx="122">
                  <c:v>0.32714147539903926</c:v>
                </c:pt>
                <c:pt idx="123">
                  <c:v>0.32065373440090411</c:v>
                </c:pt>
                <c:pt idx="124">
                  <c:v>0.31548675475514287</c:v>
                </c:pt>
                <c:pt idx="125">
                  <c:v>0.31087465573282314</c:v>
                </c:pt>
                <c:pt idx="126">
                  <c:v>0.30631166545204341</c:v>
                </c:pt>
                <c:pt idx="127">
                  <c:v>0.30186956916725527</c:v>
                </c:pt>
                <c:pt idx="128">
                  <c:v>0.2976304906666048</c:v>
                </c:pt>
                <c:pt idx="129">
                  <c:v>0.2940398168697736</c:v>
                </c:pt>
                <c:pt idx="130">
                  <c:v>0.29079433257913234</c:v>
                </c:pt>
                <c:pt idx="131">
                  <c:v>0.28750706615645766</c:v>
                </c:pt>
                <c:pt idx="132">
                  <c:v>0.28437631631600407</c:v>
                </c:pt>
                <c:pt idx="133">
                  <c:v>0.28132504627928279</c:v>
                </c:pt>
                <c:pt idx="134">
                  <c:v>0.27829123071638029</c:v>
                </c:pt>
                <c:pt idx="135">
                  <c:v>0.27541354212455282</c:v>
                </c:pt>
                <c:pt idx="136">
                  <c:v>0.50003199863472492</c:v>
                </c:pt>
                <c:pt idx="137">
                  <c:v>0.49083032031743451</c:v>
                </c:pt>
                <c:pt idx="138">
                  <c:v>0.48076346324751595</c:v>
                </c:pt>
                <c:pt idx="139">
                  <c:v>0.47239833771510131</c:v>
                </c:pt>
                <c:pt idx="140">
                  <c:v>0.4645701609794996</c:v>
                </c:pt>
                <c:pt idx="141">
                  <c:v>0.45773539554377179</c:v>
                </c:pt>
                <c:pt idx="142">
                  <c:v>0.45220948637309866</c:v>
                </c:pt>
                <c:pt idx="143">
                  <c:v>0.43521757792911986</c:v>
                </c:pt>
                <c:pt idx="144">
                  <c:v>0.41516104101388451</c:v>
                </c:pt>
                <c:pt idx="145">
                  <c:v>0.39532901300995854</c:v>
                </c:pt>
                <c:pt idx="146">
                  <c:v>0.37591083874447317</c:v>
                </c:pt>
                <c:pt idx="147">
                  <c:v>0.35777107226912325</c:v>
                </c:pt>
                <c:pt idx="148">
                  <c:v>0.34014687840756863</c:v>
                </c:pt>
                <c:pt idx="149">
                  <c:v>0.32523863918222728</c:v>
                </c:pt>
                <c:pt idx="150">
                  <c:v>0.3115601750860737</c:v>
                </c:pt>
                <c:pt idx="151">
                  <c:v>0.29856269015705983</c:v>
                </c:pt>
                <c:pt idx="152">
                  <c:v>0.28601155466406752</c:v>
                </c:pt>
                <c:pt idx="153">
                  <c:v>0.27527181033313985</c:v>
                </c:pt>
                <c:pt idx="154">
                  <c:v>0.26524474833863387</c:v>
                </c:pt>
                <c:pt idx="155">
                  <c:v>0.25542652627672202</c:v>
                </c:pt>
                <c:pt idx="156">
                  <c:v>0.24568883457439825</c:v>
                </c:pt>
                <c:pt idx="157">
                  <c:v>0.23579856722538819</c:v>
                </c:pt>
                <c:pt idx="158">
                  <c:v>0.2287654818302777</c:v>
                </c:pt>
                <c:pt idx="159">
                  <c:v>0.2228742275361448</c:v>
                </c:pt>
                <c:pt idx="160">
                  <c:v>0.21735180636683185</c:v>
                </c:pt>
                <c:pt idx="161">
                  <c:v>0.21210105180095506</c:v>
                </c:pt>
                <c:pt idx="162">
                  <c:v>0.20704659785725399</c:v>
                </c:pt>
                <c:pt idx="163">
                  <c:v>0.20271014248398639</c:v>
                </c:pt>
                <c:pt idx="164">
                  <c:v>0.19876194509218637</c:v>
                </c:pt>
                <c:pt idx="165">
                  <c:v>0.19504600299855621</c:v>
                </c:pt>
                <c:pt idx="166">
                  <c:v>0.19157515681343482</c:v>
                </c:pt>
                <c:pt idx="167">
                  <c:v>0.18830846376216659</c:v>
                </c:pt>
                <c:pt idx="168">
                  <c:v>0.18519669309540512</c:v>
                </c:pt>
                <c:pt idx="169">
                  <c:v>0.18229872058443697</c:v>
                </c:pt>
              </c:numCache>
            </c:numRef>
          </c:yVal>
          <c:smooth val="0"/>
          <c:extLst>
            <c:ext xmlns:c16="http://schemas.microsoft.com/office/drawing/2014/chart" uri="{C3380CC4-5D6E-409C-BE32-E72D297353CC}">
              <c16:uniqueId val="{00000000-27DD-48C4-8F2F-E977B7818541}"/>
            </c:ext>
          </c:extLst>
        </c:ser>
        <c:dLbls>
          <c:showLegendKey val="0"/>
          <c:showVal val="0"/>
          <c:showCatName val="0"/>
          <c:showSerName val="0"/>
          <c:showPercent val="0"/>
          <c:showBubbleSize val="0"/>
        </c:dLbls>
        <c:axId val="515096968"/>
        <c:axId val="515097360"/>
      </c:scatterChart>
      <c:valAx>
        <c:axId val="515096968"/>
        <c:scaling>
          <c:orientation val="minMax"/>
        </c:scaling>
        <c:delete val="0"/>
        <c:axPos val="b"/>
        <c:numFmt formatCode="General" sourceLinked="1"/>
        <c:majorTickMark val="out"/>
        <c:minorTickMark val="none"/>
        <c:tickLblPos val="nextTo"/>
        <c:crossAx val="515097360"/>
        <c:crosses val="autoZero"/>
        <c:crossBetween val="midCat"/>
      </c:valAx>
      <c:valAx>
        <c:axId val="515097360"/>
        <c:scaling>
          <c:orientation val="minMax"/>
        </c:scaling>
        <c:delete val="0"/>
        <c:axPos val="l"/>
        <c:majorGridlines/>
        <c:numFmt formatCode="General" sourceLinked="1"/>
        <c:majorTickMark val="out"/>
        <c:minorTickMark val="none"/>
        <c:tickLblPos val="nextTo"/>
        <c:crossAx val="5150969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'hh.inc.regressions'!$G$83</c:f>
              <c:strCache>
                <c:ptCount val="1"/>
                <c:pt idx="0">
                  <c:v>hhd-me</c:v>
                </c:pt>
              </c:strCache>
            </c:strRef>
          </c:tx>
          <c:spPr>
            <a:ln w="28575">
              <a:noFill/>
            </a:ln>
          </c:spPr>
          <c:trendline>
            <c:trendlineType val="power"/>
            <c:forward val="4"/>
            <c:dispRSqr val="1"/>
            <c:dispEq val="1"/>
            <c:trendlineLbl>
              <c:layout>
                <c:manualLayout>
                  <c:x val="0.12871489673171499"/>
                  <c:y val="6.4056697807137603E-2"/>
                </c:manualLayout>
              </c:layout>
              <c:numFmt formatCode="General" sourceLinked="0"/>
            </c:trendlineLbl>
          </c:trendline>
          <c:xVal>
            <c:numRef>
              <c:f>'hh.inc.regressions'!$E$84:$E$253</c:f>
              <c:numCache>
                <c:formatCode>General</c:formatCode>
                <c:ptCount val="170"/>
                <c:pt idx="0">
                  <c:v>1</c:v>
                </c:pt>
                <c:pt idx="1">
                  <c:v>1.0234673413071198</c:v>
                </c:pt>
                <c:pt idx="2">
                  <c:v>1.046928407299635</c:v>
                </c:pt>
                <c:pt idx="3">
                  <c:v>1.0709847508968577</c:v>
                </c:pt>
                <c:pt idx="4">
                  <c:v>1.0952578438583667</c:v>
                </c:pt>
                <c:pt idx="5">
                  <c:v>1.1195371697144316</c:v>
                </c:pt>
                <c:pt idx="6">
                  <c:v>1.1433075552901772</c:v>
                </c:pt>
                <c:pt idx="7">
                  <c:v>1.1663622092972685</c:v>
                </c:pt>
                <c:pt idx="8">
                  <c:v>1.1903171466802214</c:v>
                </c:pt>
                <c:pt idx="9">
                  <c:v>1.2158822394205109</c:v>
                </c:pt>
                <c:pt idx="10">
                  <c:v>1.2422132820938228</c:v>
                </c:pt>
                <c:pt idx="11">
                  <c:v>1.2692919683627784</c:v>
                </c:pt>
                <c:pt idx="12">
                  <c:v>1.2965100785412003</c:v>
                </c:pt>
                <c:pt idx="13">
                  <c:v>1.3244546992562132</c:v>
                </c:pt>
                <c:pt idx="14">
                  <c:v>1.3523000270119017</c:v>
                </c:pt>
                <c:pt idx="15">
                  <c:v>1.3806489843284251</c:v>
                </c:pt>
                <c:pt idx="16">
                  <c:v>1.4089166803603983</c:v>
                </c:pt>
                <c:pt idx="17">
                  <c:v>1.4380130724792715</c:v>
                </c:pt>
                <c:pt idx="18">
                  <c:v>1.4682415179192976</c:v>
                </c:pt>
                <c:pt idx="19">
                  <c:v>1.4999649113180205</c:v>
                </c:pt>
                <c:pt idx="20">
                  <c:v>1.5317018366520871</c:v>
                </c:pt>
                <c:pt idx="21">
                  <c:v>1.5631482567011028</c:v>
                </c:pt>
                <c:pt idx="22">
                  <c:v>1.5946771765828738</c:v>
                </c:pt>
                <c:pt idx="23">
                  <c:v>1.626434892866619</c:v>
                </c:pt>
                <c:pt idx="24">
                  <c:v>1.6609138933334202</c:v>
                </c:pt>
                <c:pt idx="25">
                  <c:v>1.6973603351399855</c:v>
                </c:pt>
                <c:pt idx="26">
                  <c:v>1.7354863941264391</c:v>
                </c:pt>
                <c:pt idx="27">
                  <c:v>1.7752554491278587</c:v>
                </c:pt>
                <c:pt idx="28">
                  <c:v>1.81542173575882</c:v>
                </c:pt>
                <c:pt idx="29">
                  <c:v>1.8565814433503236</c:v>
                </c:pt>
                <c:pt idx="30">
                  <c:v>1.8968743247117836</c:v>
                </c:pt>
                <c:pt idx="31">
                  <c:v>1.9394964876996652</c:v>
                </c:pt>
                <c:pt idx="32">
                  <c:v>1.9837517482993714</c:v>
                </c:pt>
                <c:pt idx="33">
                  <c:v>2.0283473091612896</c:v>
                </c:pt>
                <c:pt idx="34">
                  <c:v>1</c:v>
                </c:pt>
                <c:pt idx="35">
                  <c:v>1.0234673413076383</c:v>
                </c:pt>
                <c:pt idx="36">
                  <c:v>1.0469278710910062</c:v>
                </c:pt>
                <c:pt idx="37">
                  <c:v>1.0709857782008951</c:v>
                </c:pt>
                <c:pt idx="38">
                  <c:v>1.0952641014540259</c:v>
                </c:pt>
                <c:pt idx="39">
                  <c:v>1.119550989571485</c:v>
                </c:pt>
                <c:pt idx="40">
                  <c:v>1.1433325530369507</c:v>
                </c:pt>
                <c:pt idx="41">
                  <c:v>1.2053549088934326</c:v>
                </c:pt>
                <c:pt idx="42">
                  <c:v>1.272409829400974</c:v>
                </c:pt>
                <c:pt idx="43">
                  <c:v>1.3458323118415487</c:v>
                </c:pt>
                <c:pt idx="44">
                  <c:v>1.424911989535941</c:v>
                </c:pt>
                <c:pt idx="45">
                  <c:v>1.5100825213909512</c:v>
                </c:pt>
                <c:pt idx="46">
                  <c:v>1.6010025470615696</c:v>
                </c:pt>
                <c:pt idx="47">
                  <c:v>1.6918141501958073</c:v>
                </c:pt>
                <c:pt idx="48">
                  <c:v>1.7882403067577222</c:v>
                </c:pt>
                <c:pt idx="49">
                  <c:v>1.8911281815189578</c:v>
                </c:pt>
                <c:pt idx="50">
                  <c:v>1.9989049192679367</c:v>
                </c:pt>
                <c:pt idx="51">
                  <c:v>2.1013668115515203</c:v>
                </c:pt>
                <c:pt idx="52">
                  <c:v>2.211626679438397</c:v>
                </c:pt>
                <c:pt idx="53">
                  <c:v>2.3286207445277403</c:v>
                </c:pt>
                <c:pt idx="54">
                  <c:v>2.4549461024317147</c:v>
                </c:pt>
                <c:pt idx="55">
                  <c:v>2.5909035122261277</c:v>
                </c:pt>
                <c:pt idx="56">
                  <c:v>2.7236416416309974</c:v>
                </c:pt>
                <c:pt idx="57">
                  <c:v>2.8639542485494931</c:v>
                </c:pt>
                <c:pt idx="58">
                  <c:v>3.013925797493676</c:v>
                </c:pt>
                <c:pt idx="59">
                  <c:v>3.1729510549664401</c:v>
                </c:pt>
                <c:pt idx="60">
                  <c:v>3.3409542579611866</c:v>
                </c:pt>
                <c:pt idx="61">
                  <c:v>3.5005953313033529</c:v>
                </c:pt>
                <c:pt idx="62">
                  <c:v>3.6674779192421663</c:v>
                </c:pt>
                <c:pt idx="63">
                  <c:v>3.8436178894871786</c:v>
                </c:pt>
                <c:pt idx="64">
                  <c:v>4.0251066963157207</c:v>
                </c:pt>
                <c:pt idx="65">
                  <c:v>4.217010311411669</c:v>
                </c:pt>
                <c:pt idx="66">
                  <c:v>4.4177783786217084</c:v>
                </c:pt>
                <c:pt idx="67">
                  <c:v>4.6275000803030855</c:v>
                </c:pt>
                <c:pt idx="68">
                  <c:v>1</c:v>
                </c:pt>
                <c:pt idx="69">
                  <c:v>1.0234673413076376</c:v>
                </c:pt>
                <c:pt idx="70">
                  <c:v>1.0469275540042842</c:v>
                </c:pt>
                <c:pt idx="71">
                  <c:v>1.0709862562670511</c:v>
                </c:pt>
                <c:pt idx="72">
                  <c:v>1.0952674472124009</c:v>
                </c:pt>
                <c:pt idx="73">
                  <c:v>1.1195413487809718</c:v>
                </c:pt>
                <c:pt idx="74">
                  <c:v>1.1433434428661799</c:v>
                </c:pt>
                <c:pt idx="75">
                  <c:v>1.210697575494418</c:v>
                </c:pt>
                <c:pt idx="76">
                  <c:v>1.2844956850984455</c:v>
                </c:pt>
                <c:pt idx="77">
                  <c:v>1.3657799020520831</c:v>
                </c:pt>
                <c:pt idx="78">
                  <c:v>1.4544268180392537</c:v>
                </c:pt>
                <c:pt idx="79">
                  <c:v>1.5498452285379409</c:v>
                </c:pt>
                <c:pt idx="80">
                  <c:v>1.6527033655244392</c:v>
                </c:pt>
                <c:pt idx="81">
                  <c:v>1.7435439898149916</c:v>
                </c:pt>
                <c:pt idx="82">
                  <c:v>1.8443002861758961</c:v>
                </c:pt>
                <c:pt idx="83">
                  <c:v>1.9529963938063692</c:v>
                </c:pt>
                <c:pt idx="84">
                  <c:v>2.0685704770211872</c:v>
                </c:pt>
                <c:pt idx="85">
                  <c:v>2.186287550319741</c:v>
                </c:pt>
                <c:pt idx="86">
                  <c:v>2.31224331266551</c:v>
                </c:pt>
                <c:pt idx="87">
                  <c:v>2.4494851641345727</c:v>
                </c:pt>
                <c:pt idx="88">
                  <c:v>2.5990142509329193</c:v>
                </c:pt>
                <c:pt idx="89">
                  <c:v>2.7615500195994178</c:v>
                </c:pt>
                <c:pt idx="90">
                  <c:v>2.8998164048788788</c:v>
                </c:pt>
                <c:pt idx="91">
                  <c:v>3.0451484850135455</c:v>
                </c:pt>
                <c:pt idx="92">
                  <c:v>3.1985352105465443</c:v>
                </c:pt>
                <c:pt idx="93">
                  <c:v>3.3600478393045323</c:v>
                </c:pt>
                <c:pt idx="94">
                  <c:v>3.5313137629131028</c:v>
                </c:pt>
                <c:pt idx="95">
                  <c:v>3.6669118638238882</c:v>
                </c:pt>
                <c:pt idx="96">
                  <c:v>3.8052806759129245</c:v>
                </c:pt>
                <c:pt idx="97">
                  <c:v>3.9472837513103318</c:v>
                </c:pt>
                <c:pt idx="98">
                  <c:v>4.0888880772332232</c:v>
                </c:pt>
                <c:pt idx="99">
                  <c:v>4.2354806465102905</c:v>
                </c:pt>
                <c:pt idx="100">
                  <c:v>4.3848536026293896</c:v>
                </c:pt>
                <c:pt idx="101">
                  <c:v>4.5368328072516526</c:v>
                </c:pt>
                <c:pt idx="102">
                  <c:v>1</c:v>
                </c:pt>
                <c:pt idx="103">
                  <c:v>1.0234673413076407</c:v>
                </c:pt>
                <c:pt idx="104">
                  <c:v>1.0469283017716868</c:v>
                </c:pt>
                <c:pt idx="105">
                  <c:v>1.0709849764209987</c:v>
                </c:pt>
                <c:pt idx="106">
                  <c:v>1.0952591400987475</c:v>
                </c:pt>
                <c:pt idx="107">
                  <c:v>1.1195228593368927</c:v>
                </c:pt>
                <c:pt idx="108">
                  <c:v>1.1433098086691986</c:v>
                </c:pt>
                <c:pt idx="109">
                  <c:v>1.1818831422603602</c:v>
                </c:pt>
                <c:pt idx="110">
                  <c:v>1.2228670998047384</c:v>
                </c:pt>
                <c:pt idx="111">
                  <c:v>1.2670058561932183</c:v>
                </c:pt>
                <c:pt idx="112">
                  <c:v>1.3134921234288375</c:v>
                </c:pt>
                <c:pt idx="113">
                  <c:v>1.3624917037493387</c:v>
                </c:pt>
                <c:pt idx="114">
                  <c:v>1.4134037928653305</c:v>
                </c:pt>
                <c:pt idx="115">
                  <c:v>1.4590484827263202</c:v>
                </c:pt>
                <c:pt idx="116">
                  <c:v>1.5056347170576587</c:v>
                </c:pt>
                <c:pt idx="117">
                  <c:v>1.5540652138404158</c:v>
                </c:pt>
                <c:pt idx="118">
                  <c:v>1.6035593126341641</c:v>
                </c:pt>
                <c:pt idx="119">
                  <c:v>1.6526079427024791</c:v>
                </c:pt>
                <c:pt idx="120">
                  <c:v>1.703496549978639</c:v>
                </c:pt>
                <c:pt idx="121">
                  <c:v>1.7556019555439424</c:v>
                </c:pt>
                <c:pt idx="122">
                  <c:v>1.8086370690538436</c:v>
                </c:pt>
                <c:pt idx="123">
                  <c:v>1.8639164754599358</c:v>
                </c:pt>
                <c:pt idx="124">
                  <c:v>1.9069678719632217</c:v>
                </c:pt>
                <c:pt idx="125">
                  <c:v>1.9511308045864324</c:v>
                </c:pt>
                <c:pt idx="126">
                  <c:v>1.9970109580760536</c:v>
                </c:pt>
                <c:pt idx="127">
                  <c:v>2.0439955686667526</c:v>
                </c:pt>
                <c:pt idx="128">
                  <c:v>2.0910587175524333</c:v>
                </c:pt>
                <c:pt idx="129">
                  <c:v>2.134823498058577</c:v>
                </c:pt>
                <c:pt idx="130">
                  <c:v>2.1791523508977808</c:v>
                </c:pt>
                <c:pt idx="131">
                  <c:v>2.2245901395524856</c:v>
                </c:pt>
                <c:pt idx="132">
                  <c:v>2.2681993011873383</c:v>
                </c:pt>
                <c:pt idx="133">
                  <c:v>2.3131251901834715</c:v>
                </c:pt>
                <c:pt idx="134">
                  <c:v>2.3587491732563248</c:v>
                </c:pt>
                <c:pt idx="135">
                  <c:v>2.404236673651365</c:v>
                </c:pt>
                <c:pt idx="136">
                  <c:v>1</c:v>
                </c:pt>
                <c:pt idx="137">
                  <c:v>1.0234673412940167</c:v>
                </c:pt>
                <c:pt idx="138">
                  <c:v>1.0469277859078818</c:v>
                </c:pt>
                <c:pt idx="139">
                  <c:v>1.0709859155816057</c:v>
                </c:pt>
                <c:pt idx="140">
                  <c:v>1.095265024698415</c:v>
                </c:pt>
                <c:pt idx="141">
                  <c:v>1.1195530537917473</c:v>
                </c:pt>
                <c:pt idx="142">
                  <c:v>1.143336319250988</c:v>
                </c:pt>
                <c:pt idx="143">
                  <c:v>1.2070673425403691</c:v>
                </c:pt>
                <c:pt idx="144">
                  <c:v>1.2766102262884789</c:v>
                </c:pt>
                <c:pt idx="145">
                  <c:v>1.3529409484107484</c:v>
                </c:pt>
                <c:pt idx="146">
                  <c:v>1.4359707082975925</c:v>
                </c:pt>
                <c:pt idx="147">
                  <c:v>1.5252016507533515</c:v>
                </c:pt>
                <c:pt idx="148">
                  <c:v>1.6213246989348657</c:v>
                </c:pt>
                <c:pt idx="149">
                  <c:v>1.7084137620769346</c:v>
                </c:pt>
                <c:pt idx="150">
                  <c:v>1.7998128653291903</c:v>
                </c:pt>
                <c:pt idx="151">
                  <c:v>1.897312729178408</c:v>
                </c:pt>
                <c:pt idx="152">
                  <c:v>2.0004976304047375</c:v>
                </c:pt>
                <c:pt idx="153">
                  <c:v>2.0979006417696606</c:v>
                </c:pt>
                <c:pt idx="154">
                  <c:v>2.2013898317383305</c:v>
                </c:pt>
                <c:pt idx="155">
                  <c:v>2.3120572171957319</c:v>
                </c:pt>
                <c:pt idx="156">
                  <c:v>2.431335824315676</c:v>
                </c:pt>
                <c:pt idx="157">
                  <c:v>2.5589951033270539</c:v>
                </c:pt>
                <c:pt idx="158">
                  <c:v>2.6469036687220324</c:v>
                </c:pt>
                <c:pt idx="159">
                  <c:v>2.7368000197411768</c:v>
                </c:pt>
                <c:pt idx="160">
                  <c:v>2.8297031484002613</c:v>
                </c:pt>
                <c:pt idx="161">
                  <c:v>2.9251046523346518</c:v>
                </c:pt>
                <c:pt idx="162">
                  <c:v>3.0232427754371698</c:v>
                </c:pt>
                <c:pt idx="163">
                  <c:v>3.1110995094022238</c:v>
                </c:pt>
                <c:pt idx="164">
                  <c:v>3.1990874046086057</c:v>
                </c:pt>
                <c:pt idx="165">
                  <c:v>3.2872048387045996</c:v>
                </c:pt>
                <c:pt idx="166">
                  <c:v>3.3726775987413653</c:v>
                </c:pt>
                <c:pt idx="167">
                  <c:v>3.4601626271507588</c:v>
                </c:pt>
                <c:pt idx="168">
                  <c:v>3.5472551378157875</c:v>
                </c:pt>
                <c:pt idx="169">
                  <c:v>3.6336035622565976</c:v>
                </c:pt>
              </c:numCache>
            </c:numRef>
          </c:xVal>
          <c:yVal>
            <c:numRef>
              <c:f>'hh.inc.regressions'!$G$84:$G$253</c:f>
              <c:numCache>
                <c:formatCode>General</c:formatCode>
                <c:ptCount val="170"/>
                <c:pt idx="0">
                  <c:v>0.30001919918083497</c:v>
                </c:pt>
                <c:pt idx="1">
                  <c:v>0.3025143196109723</c:v>
                </c:pt>
                <c:pt idx="2">
                  <c:v>0.3050537056410953</c:v>
                </c:pt>
                <c:pt idx="3">
                  <c:v>0.30755183292643545</c:v>
                </c:pt>
                <c:pt idx="4">
                  <c:v>0.30978743025682759</c:v>
                </c:pt>
                <c:pt idx="5">
                  <c:v>0.31196921710536585</c:v>
                </c:pt>
                <c:pt idx="6">
                  <c:v>0.3139245041025438</c:v>
                </c:pt>
                <c:pt idx="7">
                  <c:v>0.31562334949252491</c:v>
                </c:pt>
                <c:pt idx="8">
                  <c:v>0.31716231263226302</c:v>
                </c:pt>
                <c:pt idx="9">
                  <c:v>0.3188808709672164</c:v>
                </c:pt>
                <c:pt idx="10">
                  <c:v>0.32059337434204671</c:v>
                </c:pt>
                <c:pt idx="11">
                  <c:v>0.32178344489345939</c:v>
                </c:pt>
                <c:pt idx="12">
                  <c:v>0.3230165441995364</c:v>
                </c:pt>
                <c:pt idx="13">
                  <c:v>0.32426829996956641</c:v>
                </c:pt>
                <c:pt idx="14">
                  <c:v>0.32553909165826528</c:v>
                </c:pt>
                <c:pt idx="15">
                  <c:v>0.32675916700555058</c:v>
                </c:pt>
                <c:pt idx="16">
                  <c:v>0.32794718285324592</c:v>
                </c:pt>
                <c:pt idx="17">
                  <c:v>0.32912677362423437</c:v>
                </c:pt>
                <c:pt idx="18">
                  <c:v>0.33031357857850902</c:v>
                </c:pt>
                <c:pt idx="19">
                  <c:v>0.33147971789271508</c:v>
                </c:pt>
                <c:pt idx="20">
                  <c:v>0.33271273339689006</c:v>
                </c:pt>
                <c:pt idx="21">
                  <c:v>0.33390339701948885</c:v>
                </c:pt>
                <c:pt idx="22">
                  <c:v>0.33505024113074838</c:v>
                </c:pt>
                <c:pt idx="23">
                  <c:v>0.33614686629666934</c:v>
                </c:pt>
                <c:pt idx="24">
                  <c:v>0.33719137165479784</c:v>
                </c:pt>
                <c:pt idx="25">
                  <c:v>0.33828682754927497</c:v>
                </c:pt>
                <c:pt idx="26">
                  <c:v>0.33943482895388533</c:v>
                </c:pt>
                <c:pt idx="27">
                  <c:v>0.34058372370252832</c:v>
                </c:pt>
                <c:pt idx="28">
                  <c:v>0.3417479758123706</c:v>
                </c:pt>
                <c:pt idx="29">
                  <c:v>0.3428868769939995</c:v>
                </c:pt>
                <c:pt idx="30">
                  <c:v>0.34403109498345008</c:v>
                </c:pt>
                <c:pt idx="31">
                  <c:v>0.34508221526335214</c:v>
                </c:pt>
                <c:pt idx="32">
                  <c:v>0.34613834365285107</c:v>
                </c:pt>
                <c:pt idx="33">
                  <c:v>0.34722920045983297</c:v>
                </c:pt>
                <c:pt idx="34">
                  <c:v>0.30001919918083497</c:v>
                </c:pt>
                <c:pt idx="35">
                  <c:v>0.30251431961099978</c:v>
                </c:pt>
                <c:pt idx="36">
                  <c:v>0.30505285482356365</c:v>
                </c:pt>
                <c:pt idx="37">
                  <c:v>0.30755553292202042</c:v>
                </c:pt>
                <c:pt idx="38">
                  <c:v>0.30979609837102495</c:v>
                </c:pt>
                <c:pt idx="39">
                  <c:v>0.31198258328754863</c:v>
                </c:pt>
                <c:pt idx="40">
                  <c:v>0.31394334595986323</c:v>
                </c:pt>
                <c:pt idx="41">
                  <c:v>0.31572680997037722</c:v>
                </c:pt>
                <c:pt idx="42">
                  <c:v>0.31953793167840133</c:v>
                </c:pt>
                <c:pt idx="43">
                  <c:v>0.32346367150975885</c:v>
                </c:pt>
                <c:pt idx="44">
                  <c:v>0.32730497508356687</c:v>
                </c:pt>
                <c:pt idx="45">
                  <c:v>0.3305925896539465</c:v>
                </c:pt>
                <c:pt idx="46">
                  <c:v>0.33381006149245912</c:v>
                </c:pt>
                <c:pt idx="47">
                  <c:v>0.33690502918242504</c:v>
                </c:pt>
                <c:pt idx="48">
                  <c:v>0.33968900375148781</c:v>
                </c:pt>
                <c:pt idx="49">
                  <c:v>0.34232543581396829</c:v>
                </c:pt>
                <c:pt idx="50">
                  <c:v>0.34488164458399656</c:v>
                </c:pt>
                <c:pt idx="51">
                  <c:v>0.34730549395015065</c:v>
                </c:pt>
                <c:pt idx="52">
                  <c:v>0.34933169562086097</c:v>
                </c:pt>
                <c:pt idx="53">
                  <c:v>0.35124745949483421</c:v>
                </c:pt>
                <c:pt idx="54">
                  <c:v>0.35311752860431345</c:v>
                </c:pt>
                <c:pt idx="55">
                  <c:v>0.35495680253345357</c:v>
                </c:pt>
                <c:pt idx="56">
                  <c:v>0.35682912737265426</c:v>
                </c:pt>
                <c:pt idx="57">
                  <c:v>0.35846406786674012</c:v>
                </c:pt>
                <c:pt idx="58">
                  <c:v>0.36002077082059725</c:v>
                </c:pt>
                <c:pt idx="59">
                  <c:v>0.36153325446258527</c:v>
                </c:pt>
                <c:pt idx="60">
                  <c:v>0.36299311642079246</c:v>
                </c:pt>
                <c:pt idx="61">
                  <c:v>0.36440978756975251</c:v>
                </c:pt>
                <c:pt idx="62">
                  <c:v>0.36555845391887265</c:v>
                </c:pt>
                <c:pt idx="63">
                  <c:v>0.36665316873485831</c:v>
                </c:pt>
                <c:pt idx="64">
                  <c:v>0.36774450201300724</c:v>
                </c:pt>
                <c:pt idx="65">
                  <c:v>0.36878151151451927</c:v>
                </c:pt>
                <c:pt idx="66">
                  <c:v>0.36979313566176314</c:v>
                </c:pt>
                <c:pt idx="67">
                  <c:v>0.37076741870887886</c:v>
                </c:pt>
                <c:pt idx="68">
                  <c:v>0.30001919918083497</c:v>
                </c:pt>
                <c:pt idx="69">
                  <c:v>0.30251431961108088</c:v>
                </c:pt>
                <c:pt idx="70">
                  <c:v>0.30505236985116352</c:v>
                </c:pt>
                <c:pt idx="71">
                  <c:v>0.30755766573971149</c:v>
                </c:pt>
                <c:pt idx="72">
                  <c:v>0.30980101237672858</c:v>
                </c:pt>
                <c:pt idx="73">
                  <c:v>0.3119901289455595</c:v>
                </c:pt>
                <c:pt idx="74">
                  <c:v>0.31394772405792337</c:v>
                </c:pt>
                <c:pt idx="75">
                  <c:v>0.31582924303010856</c:v>
                </c:pt>
                <c:pt idx="76">
                  <c:v>0.32029171407734291</c:v>
                </c:pt>
                <c:pt idx="77">
                  <c:v>0.32468276438191018</c:v>
                </c:pt>
                <c:pt idx="78">
                  <c:v>0.32891658578418365</c:v>
                </c:pt>
                <c:pt idx="79">
                  <c:v>0.33257297640029332</c:v>
                </c:pt>
                <c:pt idx="80">
                  <c:v>0.336102592011434</c:v>
                </c:pt>
                <c:pt idx="81">
                  <c:v>0.33947353072116881</c:v>
                </c:pt>
                <c:pt idx="82">
                  <c:v>0.34215817343444771</c:v>
                </c:pt>
                <c:pt idx="83">
                  <c:v>0.34482096039205523</c:v>
                </c:pt>
                <c:pt idx="84">
                  <c:v>0.3474205758641577</c:v>
                </c:pt>
                <c:pt idx="85">
                  <c:v>0.34988010722585805</c:v>
                </c:pt>
                <c:pt idx="86">
                  <c:v>0.35216560248845563</c:v>
                </c:pt>
                <c:pt idx="87">
                  <c:v>0.35431373398080057</c:v>
                </c:pt>
                <c:pt idx="88">
                  <c:v>0.35642270115294994</c:v>
                </c:pt>
                <c:pt idx="89">
                  <c:v>0.35849569369148337</c:v>
                </c:pt>
                <c:pt idx="90">
                  <c:v>0.36056660879543906</c:v>
                </c:pt>
                <c:pt idx="91">
                  <c:v>0.36215204126257905</c:v>
                </c:pt>
                <c:pt idx="92">
                  <c:v>0.3636520879225284</c:v>
                </c:pt>
                <c:pt idx="93">
                  <c:v>0.36509115669795611</c:v>
                </c:pt>
                <c:pt idx="94">
                  <c:v>0.36643411656113273</c:v>
                </c:pt>
                <c:pt idx="95">
                  <c:v>0.36774300927941106</c:v>
                </c:pt>
                <c:pt idx="96">
                  <c:v>0.36863411195326745</c:v>
                </c:pt>
                <c:pt idx="97">
                  <c:v>0.36953062158548394</c:v>
                </c:pt>
                <c:pt idx="98">
                  <c:v>0.37040126671145124</c:v>
                </c:pt>
                <c:pt idx="99">
                  <c:v>0.37121122164413894</c:v>
                </c:pt>
                <c:pt idx="100">
                  <c:v>0.37199078586352108</c:v>
                </c:pt>
                <c:pt idx="101">
                  <c:v>0.37274961675472074</c:v>
                </c:pt>
                <c:pt idx="102">
                  <c:v>0.30001919918083497</c:v>
                </c:pt>
                <c:pt idx="103">
                  <c:v>0.30251431961099878</c:v>
                </c:pt>
                <c:pt idx="104">
                  <c:v>0.3050535348780205</c:v>
                </c:pt>
                <c:pt idx="105">
                  <c:v>0.30755257166826111</c:v>
                </c:pt>
                <c:pt idx="106">
                  <c:v>0.30978917517160587</c:v>
                </c:pt>
                <c:pt idx="107">
                  <c:v>0.3119719141862482</c:v>
                </c:pt>
                <c:pt idx="108">
                  <c:v>0.31392206870939343</c:v>
                </c:pt>
                <c:pt idx="109">
                  <c:v>0.31565184847856542</c:v>
                </c:pt>
                <c:pt idx="110">
                  <c:v>0.31817739057424893</c:v>
                </c:pt>
                <c:pt idx="111">
                  <c:v>0.32082020248460352</c:v>
                </c:pt>
                <c:pt idx="112">
                  <c:v>0.32345491059263126</c:v>
                </c:pt>
                <c:pt idx="113">
                  <c:v>0.32555588331619473</c:v>
                </c:pt>
                <c:pt idx="114">
                  <c:v>0.32770541454793256</c:v>
                </c:pt>
                <c:pt idx="115">
                  <c:v>0.32982856814161277</c:v>
                </c:pt>
                <c:pt idx="116">
                  <c:v>0.33161961439323651</c:v>
                </c:pt>
                <c:pt idx="117">
                  <c:v>0.33332758691525921</c:v>
                </c:pt>
                <c:pt idx="118">
                  <c:v>0.33502095422103706</c:v>
                </c:pt>
                <c:pt idx="119">
                  <c:v>0.33668122900763681</c:v>
                </c:pt>
                <c:pt idx="120">
                  <c:v>0.33824711510706257</c:v>
                </c:pt>
                <c:pt idx="121">
                  <c:v>0.33979137344445287</c:v>
                </c:pt>
                <c:pt idx="122">
                  <c:v>0.34127533895993278</c:v>
                </c:pt>
                <c:pt idx="123">
                  <c:v>0.34271076786069382</c:v>
                </c:pt>
                <c:pt idx="124">
                  <c:v>0.34410779352123205</c:v>
                </c:pt>
                <c:pt idx="125">
                  <c:v>0.34519165673767083</c:v>
                </c:pt>
                <c:pt idx="126">
                  <c:v>0.34620267759039403</c:v>
                </c:pt>
                <c:pt idx="127">
                  <c:v>0.34721288022722469</c:v>
                </c:pt>
                <c:pt idx="128">
                  <c:v>0.34820451554417042</c:v>
                </c:pt>
                <c:pt idx="129">
                  <c:v>0.3491517421735737</c:v>
                </c:pt>
                <c:pt idx="130">
                  <c:v>0.34996411937000932</c:v>
                </c:pt>
                <c:pt idx="131">
                  <c:v>0.35073004119578849</c:v>
                </c:pt>
                <c:pt idx="132">
                  <c:v>0.3515506003631011</c:v>
                </c:pt>
                <c:pt idx="133">
                  <c:v>0.35229387853159067</c:v>
                </c:pt>
                <c:pt idx="134">
                  <c:v>0.35303843236241333</c:v>
                </c:pt>
                <c:pt idx="135">
                  <c:v>0.35379548979437919</c:v>
                </c:pt>
                <c:pt idx="136">
                  <c:v>0.30001919918083497</c:v>
                </c:pt>
                <c:pt idx="137">
                  <c:v>0.30251431960863068</c:v>
                </c:pt>
                <c:pt idx="138">
                  <c:v>0.30505272327561794</c:v>
                </c:pt>
                <c:pt idx="139">
                  <c:v>0.30755610968904351</c:v>
                </c:pt>
                <c:pt idx="140">
                  <c:v>0.3097974331690258</c:v>
                </c:pt>
                <c:pt idx="141">
                  <c:v>0.31198463507847302</c:v>
                </c:pt>
                <c:pt idx="142">
                  <c:v>0.31394623406625782</c:v>
                </c:pt>
                <c:pt idx="143">
                  <c:v>0.31580874217378668</c:v>
                </c:pt>
                <c:pt idx="144">
                  <c:v>0.32009009146383344</c:v>
                </c:pt>
                <c:pt idx="145">
                  <c:v>0.32431763577790512</c:v>
                </c:pt>
                <c:pt idx="146">
                  <c:v>0.32837265937843879</c:v>
                </c:pt>
                <c:pt idx="147">
                  <c:v>0.3318605494526865</c:v>
                </c:pt>
                <c:pt idx="148">
                  <c:v>0.33526573351871869</c:v>
                </c:pt>
                <c:pt idx="149">
                  <c:v>0.33853295423478719</c:v>
                </c:pt>
                <c:pt idx="150">
                  <c:v>0.34123875334124593</c:v>
                </c:pt>
                <c:pt idx="151">
                  <c:v>0.34379988243202114</c:v>
                </c:pt>
                <c:pt idx="152">
                  <c:v>0.3462552458142189</c:v>
                </c:pt>
                <c:pt idx="153">
                  <c:v>0.34859897734970285</c:v>
                </c:pt>
                <c:pt idx="154">
                  <c:v>0.35058050563109611</c:v>
                </c:pt>
                <c:pt idx="155">
                  <c:v>0.35248026361074658</c:v>
                </c:pt>
                <c:pt idx="156">
                  <c:v>0.35431901951370487</c:v>
                </c:pt>
                <c:pt idx="157">
                  <c:v>0.35614044053235078</c:v>
                </c:pt>
                <c:pt idx="158">
                  <c:v>0.35798205658425564</c:v>
                </c:pt>
                <c:pt idx="159">
                  <c:v>0.3591260796365886</c:v>
                </c:pt>
                <c:pt idx="160">
                  <c:v>0.36017256838296446</c:v>
                </c:pt>
                <c:pt idx="161">
                  <c:v>0.36116151122493495</c:v>
                </c:pt>
                <c:pt idx="162">
                  <c:v>0.36210066024298571</c:v>
                </c:pt>
                <c:pt idx="163">
                  <c:v>0.36301667715592162</c:v>
                </c:pt>
                <c:pt idx="164">
                  <c:v>0.36378724978643645</c:v>
                </c:pt>
                <c:pt idx="165">
                  <c:v>0.36449939556030653</c:v>
                </c:pt>
                <c:pt idx="166">
                  <c:v>0.36519880618112383</c:v>
                </c:pt>
                <c:pt idx="167">
                  <c:v>0.36584219995480155</c:v>
                </c:pt>
                <c:pt idx="168">
                  <c:v>0.36645032950945999</c:v>
                </c:pt>
                <c:pt idx="169">
                  <c:v>0.36704792998662689</c:v>
                </c:pt>
              </c:numCache>
            </c:numRef>
          </c:yVal>
          <c:smooth val="0"/>
          <c:extLst>
            <c:ext xmlns:c16="http://schemas.microsoft.com/office/drawing/2014/chart" uri="{C3380CC4-5D6E-409C-BE32-E72D297353CC}">
              <c16:uniqueId val="{00000000-D146-46B5-B8DA-A4A31DFBB0D3}"/>
            </c:ext>
          </c:extLst>
        </c:ser>
        <c:dLbls>
          <c:showLegendKey val="0"/>
          <c:showVal val="0"/>
          <c:showCatName val="0"/>
          <c:showSerName val="0"/>
          <c:showPercent val="0"/>
          <c:showBubbleSize val="0"/>
        </c:dLbls>
        <c:axId val="515637464"/>
        <c:axId val="515637856"/>
      </c:scatterChart>
      <c:valAx>
        <c:axId val="515637464"/>
        <c:scaling>
          <c:orientation val="minMax"/>
        </c:scaling>
        <c:delete val="0"/>
        <c:axPos val="b"/>
        <c:numFmt formatCode="General" sourceLinked="1"/>
        <c:majorTickMark val="out"/>
        <c:minorTickMark val="none"/>
        <c:tickLblPos val="nextTo"/>
        <c:crossAx val="515637856"/>
        <c:crosses val="autoZero"/>
        <c:crossBetween val="midCat"/>
      </c:valAx>
      <c:valAx>
        <c:axId val="515637856"/>
        <c:scaling>
          <c:orientation val="minMax"/>
        </c:scaling>
        <c:delete val="0"/>
        <c:axPos val="l"/>
        <c:majorGridlines/>
        <c:numFmt formatCode="General" sourceLinked="1"/>
        <c:majorTickMark val="out"/>
        <c:minorTickMark val="none"/>
        <c:tickLblPos val="nextTo"/>
        <c:crossAx val="51563746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'hh.inc.regressions'!$I$83</c:f>
              <c:strCache>
                <c:ptCount val="1"/>
                <c:pt idx="0">
                  <c:v>he-Income</c:v>
                </c:pt>
              </c:strCache>
            </c:strRef>
          </c:tx>
          <c:spPr>
            <a:ln w="28575">
              <a:noFill/>
            </a:ln>
          </c:spPr>
          <c:trendline>
            <c:trendlineType val="power"/>
            <c:forward val="4"/>
            <c:dispRSqr val="1"/>
            <c:dispEq val="1"/>
            <c:trendlineLbl>
              <c:layout>
                <c:manualLayout>
                  <c:x val="0.12871489673171499"/>
                  <c:y val="6.4056697807137603E-2"/>
                </c:manualLayout>
              </c:layout>
              <c:numFmt formatCode="General" sourceLinked="0"/>
            </c:trendlineLbl>
          </c:trendline>
          <c:xVal>
            <c:numRef>
              <c:f>'hh.inc.regressions'!$E$84:$E$253</c:f>
              <c:numCache>
                <c:formatCode>General</c:formatCode>
                <c:ptCount val="170"/>
                <c:pt idx="0">
                  <c:v>1</c:v>
                </c:pt>
                <c:pt idx="1">
                  <c:v>1.0234673413071198</c:v>
                </c:pt>
                <c:pt idx="2">
                  <c:v>1.046928407299635</c:v>
                </c:pt>
                <c:pt idx="3">
                  <c:v>1.0709847508968577</c:v>
                </c:pt>
                <c:pt idx="4">
                  <c:v>1.0952578438583667</c:v>
                </c:pt>
                <c:pt idx="5">
                  <c:v>1.1195371697144316</c:v>
                </c:pt>
                <c:pt idx="6">
                  <c:v>1.1433075552901772</c:v>
                </c:pt>
                <c:pt idx="7">
                  <c:v>1.1663622092972685</c:v>
                </c:pt>
                <c:pt idx="8">
                  <c:v>1.1903171466802214</c:v>
                </c:pt>
                <c:pt idx="9">
                  <c:v>1.2158822394205109</c:v>
                </c:pt>
                <c:pt idx="10">
                  <c:v>1.2422132820938228</c:v>
                </c:pt>
                <c:pt idx="11">
                  <c:v>1.2692919683627784</c:v>
                </c:pt>
                <c:pt idx="12">
                  <c:v>1.2965100785412003</c:v>
                </c:pt>
                <c:pt idx="13">
                  <c:v>1.3244546992562132</c:v>
                </c:pt>
                <c:pt idx="14">
                  <c:v>1.3523000270119017</c:v>
                </c:pt>
                <c:pt idx="15">
                  <c:v>1.3806489843284251</c:v>
                </c:pt>
                <c:pt idx="16">
                  <c:v>1.4089166803603983</c:v>
                </c:pt>
                <c:pt idx="17">
                  <c:v>1.4380130724792715</c:v>
                </c:pt>
                <c:pt idx="18">
                  <c:v>1.4682415179192976</c:v>
                </c:pt>
                <c:pt idx="19">
                  <c:v>1.4999649113180205</c:v>
                </c:pt>
                <c:pt idx="20">
                  <c:v>1.5317018366520871</c:v>
                </c:pt>
                <c:pt idx="21">
                  <c:v>1.5631482567011028</c:v>
                </c:pt>
                <c:pt idx="22">
                  <c:v>1.5946771765828738</c:v>
                </c:pt>
                <c:pt idx="23">
                  <c:v>1.626434892866619</c:v>
                </c:pt>
                <c:pt idx="24">
                  <c:v>1.6609138933334202</c:v>
                </c:pt>
                <c:pt idx="25">
                  <c:v>1.6973603351399855</c:v>
                </c:pt>
                <c:pt idx="26">
                  <c:v>1.7354863941264391</c:v>
                </c:pt>
                <c:pt idx="27">
                  <c:v>1.7752554491278587</c:v>
                </c:pt>
                <c:pt idx="28">
                  <c:v>1.81542173575882</c:v>
                </c:pt>
                <c:pt idx="29">
                  <c:v>1.8565814433503236</c:v>
                </c:pt>
                <c:pt idx="30">
                  <c:v>1.8968743247117836</c:v>
                </c:pt>
                <c:pt idx="31">
                  <c:v>1.9394964876996652</c:v>
                </c:pt>
                <c:pt idx="32">
                  <c:v>1.9837517482993714</c:v>
                </c:pt>
                <c:pt idx="33">
                  <c:v>2.0283473091612896</c:v>
                </c:pt>
                <c:pt idx="34">
                  <c:v>1</c:v>
                </c:pt>
                <c:pt idx="35">
                  <c:v>1.0234673413076383</c:v>
                </c:pt>
                <c:pt idx="36">
                  <c:v>1.0469278710910062</c:v>
                </c:pt>
                <c:pt idx="37">
                  <c:v>1.0709857782008951</c:v>
                </c:pt>
                <c:pt idx="38">
                  <c:v>1.0952641014540259</c:v>
                </c:pt>
                <c:pt idx="39">
                  <c:v>1.119550989571485</c:v>
                </c:pt>
                <c:pt idx="40">
                  <c:v>1.1433325530369507</c:v>
                </c:pt>
                <c:pt idx="41">
                  <c:v>1.2053549088934326</c:v>
                </c:pt>
                <c:pt idx="42">
                  <c:v>1.272409829400974</c:v>
                </c:pt>
                <c:pt idx="43">
                  <c:v>1.3458323118415487</c:v>
                </c:pt>
                <c:pt idx="44">
                  <c:v>1.424911989535941</c:v>
                </c:pt>
                <c:pt idx="45">
                  <c:v>1.5100825213909512</c:v>
                </c:pt>
                <c:pt idx="46">
                  <c:v>1.6010025470615696</c:v>
                </c:pt>
                <c:pt idx="47">
                  <c:v>1.6918141501958073</c:v>
                </c:pt>
                <c:pt idx="48">
                  <c:v>1.7882403067577222</c:v>
                </c:pt>
                <c:pt idx="49">
                  <c:v>1.8911281815189578</c:v>
                </c:pt>
                <c:pt idx="50">
                  <c:v>1.9989049192679367</c:v>
                </c:pt>
                <c:pt idx="51">
                  <c:v>2.1013668115515203</c:v>
                </c:pt>
                <c:pt idx="52">
                  <c:v>2.211626679438397</c:v>
                </c:pt>
                <c:pt idx="53">
                  <c:v>2.3286207445277403</c:v>
                </c:pt>
                <c:pt idx="54">
                  <c:v>2.4549461024317147</c:v>
                </c:pt>
                <c:pt idx="55">
                  <c:v>2.5909035122261277</c:v>
                </c:pt>
                <c:pt idx="56">
                  <c:v>2.7236416416309974</c:v>
                </c:pt>
                <c:pt idx="57">
                  <c:v>2.8639542485494931</c:v>
                </c:pt>
                <c:pt idx="58">
                  <c:v>3.013925797493676</c:v>
                </c:pt>
                <c:pt idx="59">
                  <c:v>3.1729510549664401</c:v>
                </c:pt>
                <c:pt idx="60">
                  <c:v>3.3409542579611866</c:v>
                </c:pt>
                <c:pt idx="61">
                  <c:v>3.5005953313033529</c:v>
                </c:pt>
                <c:pt idx="62">
                  <c:v>3.6674779192421663</c:v>
                </c:pt>
                <c:pt idx="63">
                  <c:v>3.8436178894871786</c:v>
                </c:pt>
                <c:pt idx="64">
                  <c:v>4.0251066963157207</c:v>
                </c:pt>
                <c:pt idx="65">
                  <c:v>4.217010311411669</c:v>
                </c:pt>
                <c:pt idx="66">
                  <c:v>4.4177783786217084</c:v>
                </c:pt>
                <c:pt idx="67">
                  <c:v>4.6275000803030855</c:v>
                </c:pt>
                <c:pt idx="68">
                  <c:v>1</c:v>
                </c:pt>
                <c:pt idx="69">
                  <c:v>1.0234673413076376</c:v>
                </c:pt>
                <c:pt idx="70">
                  <c:v>1.0469275540042842</c:v>
                </c:pt>
                <c:pt idx="71">
                  <c:v>1.0709862562670511</c:v>
                </c:pt>
                <c:pt idx="72">
                  <c:v>1.0952674472124009</c:v>
                </c:pt>
                <c:pt idx="73">
                  <c:v>1.1195413487809718</c:v>
                </c:pt>
                <c:pt idx="74">
                  <c:v>1.1433434428661799</c:v>
                </c:pt>
                <c:pt idx="75">
                  <c:v>1.210697575494418</c:v>
                </c:pt>
                <c:pt idx="76">
                  <c:v>1.2844956850984455</c:v>
                </c:pt>
                <c:pt idx="77">
                  <c:v>1.3657799020520831</c:v>
                </c:pt>
                <c:pt idx="78">
                  <c:v>1.4544268180392537</c:v>
                </c:pt>
                <c:pt idx="79">
                  <c:v>1.5498452285379409</c:v>
                </c:pt>
                <c:pt idx="80">
                  <c:v>1.6527033655244392</c:v>
                </c:pt>
                <c:pt idx="81">
                  <c:v>1.7435439898149916</c:v>
                </c:pt>
                <c:pt idx="82">
                  <c:v>1.8443002861758961</c:v>
                </c:pt>
                <c:pt idx="83">
                  <c:v>1.9529963938063692</c:v>
                </c:pt>
                <c:pt idx="84">
                  <c:v>2.0685704770211872</c:v>
                </c:pt>
                <c:pt idx="85">
                  <c:v>2.186287550319741</c:v>
                </c:pt>
                <c:pt idx="86">
                  <c:v>2.31224331266551</c:v>
                </c:pt>
                <c:pt idx="87">
                  <c:v>2.4494851641345727</c:v>
                </c:pt>
                <c:pt idx="88">
                  <c:v>2.5990142509329193</c:v>
                </c:pt>
                <c:pt idx="89">
                  <c:v>2.7615500195994178</c:v>
                </c:pt>
                <c:pt idx="90">
                  <c:v>2.8998164048788788</c:v>
                </c:pt>
                <c:pt idx="91">
                  <c:v>3.0451484850135455</c:v>
                </c:pt>
                <c:pt idx="92">
                  <c:v>3.1985352105465443</c:v>
                </c:pt>
                <c:pt idx="93">
                  <c:v>3.3600478393045323</c:v>
                </c:pt>
                <c:pt idx="94">
                  <c:v>3.5313137629131028</c:v>
                </c:pt>
                <c:pt idx="95">
                  <c:v>3.6669118638238882</c:v>
                </c:pt>
                <c:pt idx="96">
                  <c:v>3.8052806759129245</c:v>
                </c:pt>
                <c:pt idx="97">
                  <c:v>3.9472837513103318</c:v>
                </c:pt>
                <c:pt idx="98">
                  <c:v>4.0888880772332232</c:v>
                </c:pt>
                <c:pt idx="99">
                  <c:v>4.2354806465102905</c:v>
                </c:pt>
                <c:pt idx="100">
                  <c:v>4.3848536026293896</c:v>
                </c:pt>
                <c:pt idx="101">
                  <c:v>4.5368328072516526</c:v>
                </c:pt>
                <c:pt idx="102">
                  <c:v>1</c:v>
                </c:pt>
                <c:pt idx="103">
                  <c:v>1.0234673413076407</c:v>
                </c:pt>
                <c:pt idx="104">
                  <c:v>1.0469283017716868</c:v>
                </c:pt>
                <c:pt idx="105">
                  <c:v>1.0709849764209987</c:v>
                </c:pt>
                <c:pt idx="106">
                  <c:v>1.0952591400987475</c:v>
                </c:pt>
                <c:pt idx="107">
                  <c:v>1.1195228593368927</c:v>
                </c:pt>
                <c:pt idx="108">
                  <c:v>1.1433098086691986</c:v>
                </c:pt>
                <c:pt idx="109">
                  <c:v>1.1818831422603602</c:v>
                </c:pt>
                <c:pt idx="110">
                  <c:v>1.2228670998047384</c:v>
                </c:pt>
                <c:pt idx="111">
                  <c:v>1.2670058561932183</c:v>
                </c:pt>
                <c:pt idx="112">
                  <c:v>1.3134921234288375</c:v>
                </c:pt>
                <c:pt idx="113">
                  <c:v>1.3624917037493387</c:v>
                </c:pt>
                <c:pt idx="114">
                  <c:v>1.4134037928653305</c:v>
                </c:pt>
                <c:pt idx="115">
                  <c:v>1.4590484827263202</c:v>
                </c:pt>
                <c:pt idx="116">
                  <c:v>1.5056347170576587</c:v>
                </c:pt>
                <c:pt idx="117">
                  <c:v>1.5540652138404158</c:v>
                </c:pt>
                <c:pt idx="118">
                  <c:v>1.6035593126341641</c:v>
                </c:pt>
                <c:pt idx="119">
                  <c:v>1.6526079427024791</c:v>
                </c:pt>
                <c:pt idx="120">
                  <c:v>1.703496549978639</c:v>
                </c:pt>
                <c:pt idx="121">
                  <c:v>1.7556019555439424</c:v>
                </c:pt>
                <c:pt idx="122">
                  <c:v>1.8086370690538436</c:v>
                </c:pt>
                <c:pt idx="123">
                  <c:v>1.8639164754599358</c:v>
                </c:pt>
                <c:pt idx="124">
                  <c:v>1.9069678719632217</c:v>
                </c:pt>
                <c:pt idx="125">
                  <c:v>1.9511308045864324</c:v>
                </c:pt>
                <c:pt idx="126">
                  <c:v>1.9970109580760536</c:v>
                </c:pt>
                <c:pt idx="127">
                  <c:v>2.0439955686667526</c:v>
                </c:pt>
                <c:pt idx="128">
                  <c:v>2.0910587175524333</c:v>
                </c:pt>
                <c:pt idx="129">
                  <c:v>2.134823498058577</c:v>
                </c:pt>
                <c:pt idx="130">
                  <c:v>2.1791523508977808</c:v>
                </c:pt>
                <c:pt idx="131">
                  <c:v>2.2245901395524856</c:v>
                </c:pt>
                <c:pt idx="132">
                  <c:v>2.2681993011873383</c:v>
                </c:pt>
                <c:pt idx="133">
                  <c:v>2.3131251901834715</c:v>
                </c:pt>
                <c:pt idx="134">
                  <c:v>2.3587491732563248</c:v>
                </c:pt>
                <c:pt idx="135">
                  <c:v>2.404236673651365</c:v>
                </c:pt>
                <c:pt idx="136">
                  <c:v>1</c:v>
                </c:pt>
                <c:pt idx="137">
                  <c:v>1.0234673412940167</c:v>
                </c:pt>
                <c:pt idx="138">
                  <c:v>1.0469277859078818</c:v>
                </c:pt>
                <c:pt idx="139">
                  <c:v>1.0709859155816057</c:v>
                </c:pt>
                <c:pt idx="140">
                  <c:v>1.095265024698415</c:v>
                </c:pt>
                <c:pt idx="141">
                  <c:v>1.1195530537917473</c:v>
                </c:pt>
                <c:pt idx="142">
                  <c:v>1.143336319250988</c:v>
                </c:pt>
                <c:pt idx="143">
                  <c:v>1.2070673425403691</c:v>
                </c:pt>
                <c:pt idx="144">
                  <c:v>1.2766102262884789</c:v>
                </c:pt>
                <c:pt idx="145">
                  <c:v>1.3529409484107484</c:v>
                </c:pt>
                <c:pt idx="146">
                  <c:v>1.4359707082975925</c:v>
                </c:pt>
                <c:pt idx="147">
                  <c:v>1.5252016507533515</c:v>
                </c:pt>
                <c:pt idx="148">
                  <c:v>1.6213246989348657</c:v>
                </c:pt>
                <c:pt idx="149">
                  <c:v>1.7084137620769346</c:v>
                </c:pt>
                <c:pt idx="150">
                  <c:v>1.7998128653291903</c:v>
                </c:pt>
                <c:pt idx="151">
                  <c:v>1.897312729178408</c:v>
                </c:pt>
                <c:pt idx="152">
                  <c:v>2.0004976304047375</c:v>
                </c:pt>
                <c:pt idx="153">
                  <c:v>2.0979006417696606</c:v>
                </c:pt>
                <c:pt idx="154">
                  <c:v>2.2013898317383305</c:v>
                </c:pt>
                <c:pt idx="155">
                  <c:v>2.3120572171957319</c:v>
                </c:pt>
                <c:pt idx="156">
                  <c:v>2.431335824315676</c:v>
                </c:pt>
                <c:pt idx="157">
                  <c:v>2.5589951033270539</c:v>
                </c:pt>
                <c:pt idx="158">
                  <c:v>2.6469036687220324</c:v>
                </c:pt>
                <c:pt idx="159">
                  <c:v>2.7368000197411768</c:v>
                </c:pt>
                <c:pt idx="160">
                  <c:v>2.8297031484002613</c:v>
                </c:pt>
                <c:pt idx="161">
                  <c:v>2.9251046523346518</c:v>
                </c:pt>
                <c:pt idx="162">
                  <c:v>3.0232427754371698</c:v>
                </c:pt>
                <c:pt idx="163">
                  <c:v>3.1110995094022238</c:v>
                </c:pt>
                <c:pt idx="164">
                  <c:v>3.1990874046086057</c:v>
                </c:pt>
                <c:pt idx="165">
                  <c:v>3.2872048387045996</c:v>
                </c:pt>
                <c:pt idx="166">
                  <c:v>3.3726775987413653</c:v>
                </c:pt>
                <c:pt idx="167">
                  <c:v>3.4601626271507588</c:v>
                </c:pt>
                <c:pt idx="168">
                  <c:v>3.5472551378157875</c:v>
                </c:pt>
                <c:pt idx="169">
                  <c:v>3.6336035622565976</c:v>
                </c:pt>
              </c:numCache>
            </c:numRef>
          </c:xVal>
          <c:yVal>
            <c:numRef>
              <c:f>'hh.inc.regressions'!$I$84:$I$253</c:f>
              <c:numCache>
                <c:formatCode>General</c:formatCode>
                <c:ptCount val="170"/>
                <c:pt idx="0">
                  <c:v>1</c:v>
                </c:pt>
                <c:pt idx="1">
                  <c:v>0.99317536763199576</c:v>
                </c:pt>
                <c:pt idx="2">
                  <c:v>0.98034227218537651</c:v>
                </c:pt>
                <c:pt idx="3">
                  <c:v>0.9742232186401677</c:v>
                </c:pt>
                <c:pt idx="4">
                  <c:v>0.96919434957000905</c:v>
                </c:pt>
                <c:pt idx="5">
                  <c:v>0.96768984806239766</c:v>
                </c:pt>
                <c:pt idx="6">
                  <c:v>0.97010983779654292</c:v>
                </c:pt>
                <c:pt idx="7">
                  <c:v>0.97343173260191973</c:v>
                </c:pt>
                <c:pt idx="8">
                  <c:v>0.97431533303184725</c:v>
                </c:pt>
                <c:pt idx="9">
                  <c:v>0.97631805166708119</c:v>
                </c:pt>
                <c:pt idx="10">
                  <c:v>0.97749990099422945</c:v>
                </c:pt>
                <c:pt idx="11">
                  <c:v>0.98066399748259525</c:v>
                </c:pt>
                <c:pt idx="12">
                  <c:v>0.98397941863121174</c:v>
                </c:pt>
                <c:pt idx="13">
                  <c:v>0.98786163668104987</c:v>
                </c:pt>
                <c:pt idx="14">
                  <c:v>0.99291811780550687</c:v>
                </c:pt>
                <c:pt idx="15">
                  <c:v>0.99890950631964615</c:v>
                </c:pt>
                <c:pt idx="16">
                  <c:v>1.0053007750830631</c:v>
                </c:pt>
                <c:pt idx="17">
                  <c:v>1.0117074082152113</c:v>
                </c:pt>
                <c:pt idx="18">
                  <c:v>1.0182076760008196</c:v>
                </c:pt>
                <c:pt idx="19">
                  <c:v>1.0242004890806942</c:v>
                </c:pt>
                <c:pt idx="20">
                  <c:v>1.0311786241298362</c:v>
                </c:pt>
                <c:pt idx="21">
                  <c:v>1.0391518474747876</c:v>
                </c:pt>
                <c:pt idx="22">
                  <c:v>1.0477648173307088</c:v>
                </c:pt>
                <c:pt idx="23">
                  <c:v>1.0566669682115084</c:v>
                </c:pt>
                <c:pt idx="24">
                  <c:v>1.0647062467952595</c:v>
                </c:pt>
                <c:pt idx="25">
                  <c:v>1.0717783957076266</c:v>
                </c:pt>
                <c:pt idx="26">
                  <c:v>1.0786273433588256</c:v>
                </c:pt>
                <c:pt idx="27">
                  <c:v>1.0853822809326548</c:v>
                </c:pt>
                <c:pt idx="28">
                  <c:v>1.0925658475966225</c:v>
                </c:pt>
                <c:pt idx="29">
                  <c:v>1.1002811665055727</c:v>
                </c:pt>
                <c:pt idx="30">
                  <c:v>1.1087590442303596</c:v>
                </c:pt>
                <c:pt idx="31">
                  <c:v>1.1172333150137739</c:v>
                </c:pt>
                <c:pt idx="32">
                  <c:v>1.1257056648090449</c:v>
                </c:pt>
                <c:pt idx="33">
                  <c:v>1.1350694398960164</c:v>
                </c:pt>
                <c:pt idx="34">
                  <c:v>1</c:v>
                </c:pt>
                <c:pt idx="35">
                  <c:v>0.99317536763412773</c:v>
                </c:pt>
                <c:pt idx="36">
                  <c:v>0.98024641452983563</c:v>
                </c:pt>
                <c:pt idx="37">
                  <c:v>0.97402808435759947</c:v>
                </c:pt>
                <c:pt idx="38">
                  <c:v>0.96890920926806068</c:v>
                </c:pt>
                <c:pt idx="39">
                  <c:v>0.96730746761486508</c:v>
                </c:pt>
                <c:pt idx="40">
                  <c:v>0.96964439716969753</c:v>
                </c:pt>
                <c:pt idx="41">
                  <c:v>0.9706415735585241</c:v>
                </c:pt>
                <c:pt idx="42">
                  <c:v>0.97846448252729123</c:v>
                </c:pt>
                <c:pt idx="43">
                  <c:v>0.98861813446662217</c:v>
                </c:pt>
                <c:pt idx="44">
                  <c:v>1.0014189468085968</c:v>
                </c:pt>
                <c:pt idx="45">
                  <c:v>1.017884836039886</c:v>
                </c:pt>
                <c:pt idx="46">
                  <c:v>1.0372566246760719</c:v>
                </c:pt>
                <c:pt idx="47">
                  <c:v>1.0580738772863614</c:v>
                </c:pt>
                <c:pt idx="48">
                  <c:v>1.0821557555543873</c:v>
                </c:pt>
                <c:pt idx="49">
                  <c:v>1.1088292069958723</c:v>
                </c:pt>
                <c:pt idx="50">
                  <c:v>1.1386987822841586</c:v>
                </c:pt>
                <c:pt idx="51">
                  <c:v>1.1706653479333622</c:v>
                </c:pt>
                <c:pt idx="52">
                  <c:v>1.2049419188889825</c:v>
                </c:pt>
                <c:pt idx="53">
                  <c:v>1.240345996125723</c:v>
                </c:pt>
                <c:pt idx="54">
                  <c:v>1.2769817451999357</c:v>
                </c:pt>
                <c:pt idx="55">
                  <c:v>1.3138087181268321</c:v>
                </c:pt>
                <c:pt idx="56">
                  <c:v>1.3491339181193711</c:v>
                </c:pt>
                <c:pt idx="57">
                  <c:v>1.3849420281608102</c:v>
                </c:pt>
                <c:pt idx="58">
                  <c:v>1.4218275836472261</c:v>
                </c:pt>
                <c:pt idx="59">
                  <c:v>1.460144989584337</c:v>
                </c:pt>
                <c:pt idx="60">
                  <c:v>1.5000738233039481</c:v>
                </c:pt>
                <c:pt idx="61">
                  <c:v>1.5371267795975587</c:v>
                </c:pt>
                <c:pt idx="62">
                  <c:v>1.5740741765574027</c:v>
                </c:pt>
                <c:pt idx="63">
                  <c:v>1.6113886399334285</c:v>
                </c:pt>
                <c:pt idx="64">
                  <c:v>1.6497024294062486</c:v>
                </c:pt>
                <c:pt idx="65">
                  <c:v>1.6884912448148164</c:v>
                </c:pt>
                <c:pt idx="66">
                  <c:v>1.728101139922593</c:v>
                </c:pt>
                <c:pt idx="67">
                  <c:v>1.7686726624816909</c:v>
                </c:pt>
                <c:pt idx="68">
                  <c:v>1</c:v>
                </c:pt>
                <c:pt idx="69">
                  <c:v>0.99317536763394298</c:v>
                </c:pt>
                <c:pt idx="70">
                  <c:v>0.98019162384766734</c:v>
                </c:pt>
                <c:pt idx="71">
                  <c:v>0.97391776947727315</c:v>
                </c:pt>
                <c:pt idx="72">
                  <c:v>0.96874861575126303</c:v>
                </c:pt>
                <c:pt idx="73">
                  <c:v>0.96719746062971657</c:v>
                </c:pt>
                <c:pt idx="74">
                  <c:v>0.96939146642627905</c:v>
                </c:pt>
                <c:pt idx="75">
                  <c:v>0.97206945500934072</c:v>
                </c:pt>
                <c:pt idx="76">
                  <c:v>0.98285193778587654</c:v>
                </c:pt>
                <c:pt idx="77">
                  <c:v>0.99721054877837867</c:v>
                </c:pt>
                <c:pt idx="78">
                  <c:v>1.0158082562880251</c:v>
                </c:pt>
                <c:pt idx="79">
                  <c:v>1.0406576768537217</c:v>
                </c:pt>
                <c:pt idx="80">
                  <c:v>1.0701291788784622</c:v>
                </c:pt>
                <c:pt idx="81">
                  <c:v>1.0973769882939766</c:v>
                </c:pt>
                <c:pt idx="82">
                  <c:v>1.1314755057738142</c:v>
                </c:pt>
                <c:pt idx="83">
                  <c:v>1.169314113546952</c:v>
                </c:pt>
                <c:pt idx="84">
                  <c:v>1.2115045797477257</c:v>
                </c:pt>
                <c:pt idx="85">
                  <c:v>1.2554858193546381</c:v>
                </c:pt>
                <c:pt idx="86">
                  <c:v>1.3028958139001605</c:v>
                </c:pt>
                <c:pt idx="87">
                  <c:v>1.3531154490161492</c:v>
                </c:pt>
                <c:pt idx="88">
                  <c:v>1.4063400790497629</c:v>
                </c:pt>
                <c:pt idx="89">
                  <c:v>1.4620686765926827</c:v>
                </c:pt>
                <c:pt idx="90">
                  <c:v>1.5120590385095571</c:v>
                </c:pt>
                <c:pt idx="91">
                  <c:v>1.5605772207449053</c:v>
                </c:pt>
                <c:pt idx="92">
                  <c:v>1.6117087741651053</c:v>
                </c:pt>
                <c:pt idx="93">
                  <c:v>1.6658390912329619</c:v>
                </c:pt>
                <c:pt idx="94">
                  <c:v>1.7223117881657919</c:v>
                </c:pt>
                <c:pt idx="95">
                  <c:v>1.7672487971496409</c:v>
                </c:pt>
                <c:pt idx="96">
                  <c:v>1.8090632394305146</c:v>
                </c:pt>
                <c:pt idx="97">
                  <c:v>1.8511532654939715</c:v>
                </c:pt>
                <c:pt idx="98">
                  <c:v>1.8938374131559235</c:v>
                </c:pt>
                <c:pt idx="99">
                  <c:v>1.9366326186919458</c:v>
                </c:pt>
                <c:pt idx="100">
                  <c:v>1.9796368691298512</c:v>
                </c:pt>
                <c:pt idx="101">
                  <c:v>2.0230762893134737</c:v>
                </c:pt>
                <c:pt idx="102">
                  <c:v>1</c:v>
                </c:pt>
                <c:pt idx="103">
                  <c:v>0.99317536763407499</c:v>
                </c:pt>
                <c:pt idx="104">
                  <c:v>0.98032305110325335</c:v>
                </c:pt>
                <c:pt idx="105">
                  <c:v>0.97418388040351878</c:v>
                </c:pt>
                <c:pt idx="106">
                  <c:v>0.9691367552639657</c:v>
                </c:pt>
                <c:pt idx="107">
                  <c:v>0.96771772742986306</c:v>
                </c:pt>
                <c:pt idx="108">
                  <c:v>0.97002431025557478</c:v>
                </c:pt>
                <c:pt idx="109">
                  <c:v>0.97157057691632065</c:v>
                </c:pt>
                <c:pt idx="110">
                  <c:v>0.97464031299248832</c:v>
                </c:pt>
                <c:pt idx="111">
                  <c:v>0.97923802796807546</c:v>
                </c:pt>
                <c:pt idx="112">
                  <c:v>0.98442555461089165</c:v>
                </c:pt>
                <c:pt idx="113">
                  <c:v>0.99203470995369925</c:v>
                </c:pt>
                <c:pt idx="114">
                  <c:v>1.0011697359854699</c:v>
                </c:pt>
                <c:pt idx="115">
                  <c:v>1.0108459576492683</c:v>
                </c:pt>
                <c:pt idx="116">
                  <c:v>1.0214990636808057</c:v>
                </c:pt>
                <c:pt idx="117">
                  <c:v>1.0330992698973185</c:v>
                </c:pt>
                <c:pt idx="118">
                  <c:v>1.0456906139862374</c:v>
                </c:pt>
                <c:pt idx="119">
                  <c:v>1.0586403716303299</c:v>
                </c:pt>
                <c:pt idx="120">
                  <c:v>1.0720828400842508</c:v>
                </c:pt>
                <c:pt idx="121">
                  <c:v>1.0866693102883231</c:v>
                </c:pt>
                <c:pt idx="122">
                  <c:v>1.1021296812824375</c:v>
                </c:pt>
                <c:pt idx="123">
                  <c:v>1.1185301064210857</c:v>
                </c:pt>
                <c:pt idx="124">
                  <c:v>1.1305635820242204</c:v>
                </c:pt>
                <c:pt idx="125">
                  <c:v>1.1417023207150345</c:v>
                </c:pt>
                <c:pt idx="126">
                  <c:v>1.1523318622949905</c:v>
                </c:pt>
                <c:pt idx="127">
                  <c:v>1.1630946697135571</c:v>
                </c:pt>
                <c:pt idx="128">
                  <c:v>1.1742668590771146</c:v>
                </c:pt>
                <c:pt idx="129">
                  <c:v>1.1839202842366028</c:v>
                </c:pt>
                <c:pt idx="130">
                  <c:v>1.1936427176318043</c:v>
                </c:pt>
                <c:pt idx="131">
                  <c:v>1.2027796962642436</c:v>
                </c:pt>
                <c:pt idx="132">
                  <c:v>1.2122685279558849</c:v>
                </c:pt>
                <c:pt idx="133">
                  <c:v>1.2215297149146214</c:v>
                </c:pt>
                <c:pt idx="134">
                  <c:v>1.2305980976685189</c:v>
                </c:pt>
                <c:pt idx="135">
                  <c:v>1.2399437538061409</c:v>
                </c:pt>
                <c:pt idx="136">
                  <c:v>1</c:v>
                </c:pt>
                <c:pt idx="137">
                  <c:v>0.99317536787775385</c:v>
                </c:pt>
                <c:pt idx="138">
                  <c:v>0.9802315646948907</c:v>
                </c:pt>
                <c:pt idx="139">
                  <c:v>0.97399809773499146</c:v>
                </c:pt>
                <c:pt idx="140">
                  <c:v>0.96886551280490785</c:v>
                </c:pt>
                <c:pt idx="141">
                  <c:v>0.96724893796574241</c:v>
                </c:pt>
                <c:pt idx="142">
                  <c:v>0.96957318343959209</c:v>
                </c:pt>
                <c:pt idx="143">
                  <c:v>0.97198343966793899</c:v>
                </c:pt>
                <c:pt idx="144">
                  <c:v>0.9819111078453252</c:v>
                </c:pt>
                <c:pt idx="145">
                  <c:v>0.99523614817670569</c:v>
                </c:pt>
                <c:pt idx="146">
                  <c:v>1.0122576388647799</c:v>
                </c:pt>
                <c:pt idx="147">
                  <c:v>1.0349059434673531</c:v>
                </c:pt>
                <c:pt idx="148">
                  <c:v>1.0623467869414511</c:v>
                </c:pt>
                <c:pt idx="149">
                  <c:v>1.0887164249899088</c:v>
                </c:pt>
                <c:pt idx="150">
                  <c:v>1.1190351481761085</c:v>
                </c:pt>
                <c:pt idx="151">
                  <c:v>1.1530793268780501</c:v>
                </c:pt>
                <c:pt idx="152">
                  <c:v>1.1905172244964548</c:v>
                </c:pt>
                <c:pt idx="153">
                  <c:v>1.2283521455424538</c:v>
                </c:pt>
                <c:pt idx="154">
                  <c:v>1.2671327893206685</c:v>
                </c:pt>
                <c:pt idx="155">
                  <c:v>1.3082658201901565</c:v>
                </c:pt>
                <c:pt idx="156">
                  <c:v>1.3512913401824727</c:v>
                </c:pt>
                <c:pt idx="157">
                  <c:v>1.3957234179427762</c:v>
                </c:pt>
                <c:pt idx="158">
                  <c:v>1.4302536992686365</c:v>
                </c:pt>
                <c:pt idx="159">
                  <c:v>1.4607059382650678</c:v>
                </c:pt>
                <c:pt idx="160">
                  <c:v>1.4914226826747954</c:v>
                </c:pt>
                <c:pt idx="161">
                  <c:v>1.5222954325006199</c:v>
                </c:pt>
                <c:pt idx="162">
                  <c:v>1.5531822255127945</c:v>
                </c:pt>
                <c:pt idx="163">
                  <c:v>1.5802463461572489</c:v>
                </c:pt>
                <c:pt idx="164">
                  <c:v>1.6062066417067566</c:v>
                </c:pt>
                <c:pt idx="165">
                  <c:v>1.6317008220924833</c:v>
                </c:pt>
                <c:pt idx="166">
                  <c:v>1.6569513659336197</c:v>
                </c:pt>
                <c:pt idx="167">
                  <c:v>1.6816780084545109</c:v>
                </c:pt>
                <c:pt idx="168">
                  <c:v>1.7057669271344937</c:v>
                </c:pt>
                <c:pt idx="169">
                  <c:v>1.7295062941976356</c:v>
                </c:pt>
              </c:numCache>
            </c:numRef>
          </c:yVal>
          <c:smooth val="0"/>
          <c:extLst>
            <c:ext xmlns:c16="http://schemas.microsoft.com/office/drawing/2014/chart" uri="{C3380CC4-5D6E-409C-BE32-E72D297353CC}">
              <c16:uniqueId val="{00000000-3F5A-4314-AE76-DDDF5D9966B7}"/>
            </c:ext>
          </c:extLst>
        </c:ser>
        <c:dLbls>
          <c:showLegendKey val="0"/>
          <c:showVal val="0"/>
          <c:showCatName val="0"/>
          <c:showSerName val="0"/>
          <c:showPercent val="0"/>
          <c:showBubbleSize val="0"/>
        </c:dLbls>
        <c:axId val="515639032"/>
        <c:axId val="515639424"/>
      </c:scatterChart>
      <c:valAx>
        <c:axId val="515639032"/>
        <c:scaling>
          <c:orientation val="minMax"/>
        </c:scaling>
        <c:delete val="0"/>
        <c:axPos val="b"/>
        <c:numFmt formatCode="General" sourceLinked="1"/>
        <c:majorTickMark val="out"/>
        <c:minorTickMark val="none"/>
        <c:tickLblPos val="nextTo"/>
        <c:crossAx val="515639424"/>
        <c:crosses val="autoZero"/>
        <c:crossBetween val="midCat"/>
      </c:valAx>
      <c:valAx>
        <c:axId val="515639424"/>
        <c:scaling>
          <c:orientation val="minMax"/>
        </c:scaling>
        <c:delete val="0"/>
        <c:axPos val="l"/>
        <c:majorGridlines/>
        <c:numFmt formatCode="General" sourceLinked="1"/>
        <c:majorTickMark val="out"/>
        <c:minorTickMark val="none"/>
        <c:tickLblPos val="nextTo"/>
        <c:crossAx val="51563903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23.44</c:v>
                </c:pt>
                <c:pt idx="1">
                  <c:v>22.864075230945556</c:v>
                </c:pt>
                <c:pt idx="2">
                  <c:v>21.95519667252259</c:v>
                </c:pt>
                <c:pt idx="3">
                  <c:v>20.44192609486554</c:v>
                </c:pt>
                <c:pt idx="4" formatCode="0.000">
                  <c:v>19.567629204601904</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16.970364490783776</c:v>
                </c:pt>
                <c:pt idx="1">
                  <c:v>18.982870373304088</c:v>
                </c:pt>
                <c:pt idx="2">
                  <c:v>21.968076242333368</c:v>
                </c:pt>
                <c:pt idx="3">
                  <c:v>25.241391122052022</c:v>
                </c:pt>
                <c:pt idx="4" formatCode="0.000">
                  <c:v>28.64199879238107</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12.622024542915524</c:v>
                </c:pt>
                <c:pt idx="1">
                  <c:v>15.315885695750353</c:v>
                </c:pt>
                <c:pt idx="2">
                  <c:v>18.883034605144044</c:v>
                </c:pt>
                <c:pt idx="3">
                  <c:v>22.904553213082437</c:v>
                </c:pt>
                <c:pt idx="4" formatCode="0.000">
                  <c:v>26.986581433017019</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6.7976000000000028</c:v>
                </c:pt>
                <c:pt idx="1">
                  <c:v>4.5728150461891097</c:v>
                </c:pt>
                <c:pt idx="2">
                  <c:v>3.2932795008783877</c:v>
                </c:pt>
                <c:pt idx="3">
                  <c:v>2.0441926094865543</c:v>
                </c:pt>
                <c:pt idx="4">
                  <c:v>0.97838146023009642</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16.642399999999999</c:v>
                </c:pt>
                <c:pt idx="1">
                  <c:v>18.291260184756446</c:v>
                </c:pt>
                <c:pt idx="2">
                  <c:v>18.661917171644202</c:v>
                </c:pt>
                <c:pt idx="3">
                  <c:v>18.397733485378986</c:v>
                </c:pt>
                <c:pt idx="4">
                  <c:v>18.589247744371807</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2.8849619634332431</c:v>
                </c:pt>
                <c:pt idx="1">
                  <c:v>1.8982870373304088</c:v>
                </c:pt>
                <c:pt idx="2">
                  <c:v>1.0984038121166684</c:v>
                </c:pt>
                <c:pt idx="3">
                  <c:v>1.2620695561026025</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14.085402527350533</c:v>
                </c:pt>
                <c:pt idx="1">
                  <c:v>17.084583335973679</c:v>
                </c:pt>
                <c:pt idx="2">
                  <c:v>20.869672430216699</c:v>
                </c:pt>
                <c:pt idx="3">
                  <c:v>23.979321565949419</c:v>
                </c:pt>
                <c:pt idx="4">
                  <c:v>28.64199879238107</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RES!$J$96:$AP$96</c:f>
              <c:numCache>
                <c:formatCode>0.000</c:formatCode>
                <c:ptCount val="33"/>
                <c:pt idx="0">
                  <c:v>10.669591824450372</c:v>
                </c:pt>
                <c:pt idx="1">
                  <c:v>11.660595758588318</c:v>
                </c:pt>
                <c:pt idx="2">
                  <c:v>12.651599692726267</c:v>
                </c:pt>
                <c:pt idx="3">
                  <c:v>13.642603626864213</c:v>
                </c:pt>
                <c:pt idx="4">
                  <c:v>14.633607561002162</c:v>
                </c:pt>
                <c:pt idx="5">
                  <c:v>15.624611495140108</c:v>
                </c:pt>
                <c:pt idx="6">
                  <c:v>15.575653009982673</c:v>
                </c:pt>
                <c:pt idx="7">
                  <c:v>15.522897105817895</c:v>
                </c:pt>
                <c:pt idx="8">
                  <c:v>15.466343782645774</c:v>
                </c:pt>
                <c:pt idx="9">
                  <c:v>15.448618205600493</c:v>
                </c:pt>
                <c:pt idx="10">
                  <c:v>15.427807439752314</c:v>
                </c:pt>
                <c:pt idx="11">
                  <c:v>15.403911485101242</c:v>
                </c:pt>
                <c:pt idx="12">
                  <c:v>15.37693034164727</c:v>
                </c:pt>
                <c:pt idx="13">
                  <c:v>15.346864009390409</c:v>
                </c:pt>
                <c:pt idx="14">
                  <c:v>15.257125322641278</c:v>
                </c:pt>
                <c:pt idx="15">
                  <c:v>15.162723104647624</c:v>
                </c:pt>
                <c:pt idx="16">
                  <c:v>15.063657355409449</c:v>
                </c:pt>
                <c:pt idx="17">
                  <c:v>14.959928074926752</c:v>
                </c:pt>
                <c:pt idx="18">
                  <c:v>14.851535263199537</c:v>
                </c:pt>
                <c:pt idx="19">
                  <c:v>14.754822277470142</c:v>
                </c:pt>
                <c:pt idx="20">
                  <c:v>14.653979441434242</c:v>
                </c:pt>
                <c:pt idx="21">
                  <c:v>14.549006755091835</c:v>
                </c:pt>
                <c:pt idx="22">
                  <c:v>14.439904218442923</c:v>
                </c:pt>
                <c:pt idx="23">
                  <c:v>14.326671831487513</c:v>
                </c:pt>
                <c:pt idx="24">
                  <c:v>14.234763700601091</c:v>
                </c:pt>
                <c:pt idx="25">
                  <c:v>14.138931186603198</c:v>
                </c:pt>
                <c:pt idx="26">
                  <c:v>14.039174289493834</c:v>
                </c:pt>
                <c:pt idx="27">
                  <c:v>13.935493009273003</c:v>
                </c:pt>
                <c:pt idx="28">
                  <c:v>13.827887345940697</c:v>
                </c:pt>
                <c:pt idx="29">
                  <c:v>13.47634899335949</c:v>
                </c:pt>
                <c:pt idx="30">
                  <c:v>13.236471505311645</c:v>
                </c:pt>
                <c:pt idx="31">
                  <c:v>13.236471505311645</c:v>
                </c:pt>
                <c:pt idx="32">
                  <c:v>13.236471505311645</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RES!$J$97:$AP$97</c:f>
              <c:numCache>
                <c:formatCode>0.000</c:formatCode>
                <c:ptCount val="33"/>
                <c:pt idx="0" formatCode="0.00">
                  <c:v>4.742986727829742E-2</c:v>
                </c:pt>
                <c:pt idx="1">
                  <c:v>4.4891195588489731E-2</c:v>
                </c:pt>
                <c:pt idx="2">
                  <c:v>4.2352523898682035E-2</c:v>
                </c:pt>
                <c:pt idx="3">
                  <c:v>3.9813852208874345E-2</c:v>
                </c:pt>
                <c:pt idx="4">
                  <c:v>3.7275180519066656E-2</c:v>
                </c:pt>
                <c:pt idx="5">
                  <c:v>3.4736508829258959E-2</c:v>
                </c:pt>
                <c:pt idx="6">
                  <c:v>3.4627664724401222E-2</c:v>
                </c:pt>
                <c:pt idx="7">
                  <c:v>3.4510378228581128E-2</c:v>
                </c:pt>
                <c:pt idx="8">
                  <c:v>3.4384649341798669E-2</c:v>
                </c:pt>
                <c:pt idx="9">
                  <c:v>3.4345241983495478E-2</c:v>
                </c:pt>
                <c:pt idx="10">
                  <c:v>3.4298975658610939E-2</c:v>
                </c:pt>
                <c:pt idx="11">
                  <c:v>3.4245850367145052E-2</c:v>
                </c:pt>
                <c:pt idx="12">
                  <c:v>3.4185866109097809E-2</c:v>
                </c:pt>
                <c:pt idx="13">
                  <c:v>3.4119022884469233E-2</c:v>
                </c:pt>
                <c:pt idx="14">
                  <c:v>3.391951656806854E-2</c:v>
                </c:pt>
                <c:pt idx="15">
                  <c:v>3.3709642327044487E-2</c:v>
                </c:pt>
                <c:pt idx="16">
                  <c:v>3.3489400161397079E-2</c:v>
                </c:pt>
                <c:pt idx="17">
                  <c:v>3.3258790071126317E-2</c:v>
                </c:pt>
                <c:pt idx="18">
                  <c:v>3.30178120562322E-2</c:v>
                </c:pt>
                <c:pt idx="19">
                  <c:v>3.2802800535226502E-2</c:v>
                </c:pt>
                <c:pt idx="20">
                  <c:v>3.2578607564705722E-2</c:v>
                </c:pt>
                <c:pt idx="21">
                  <c:v>3.2345233144669853E-2</c:v>
                </c:pt>
                <c:pt idx="22">
                  <c:v>3.2102677275118903E-2</c:v>
                </c:pt>
                <c:pt idx="23">
                  <c:v>3.1850939956052884E-2</c:v>
                </c:pt>
                <c:pt idx="24">
                  <c:v>3.1646610549141876E-2</c:v>
                </c:pt>
                <c:pt idx="25">
                  <c:v>3.143355648570783E-2</c:v>
                </c:pt>
                <c:pt idx="26">
                  <c:v>3.1211777765750747E-2</c:v>
                </c:pt>
                <c:pt idx="27">
                  <c:v>3.0981274389270633E-2</c:v>
                </c:pt>
                <c:pt idx="28">
                  <c:v>3.0742046356267476E-2</c:v>
                </c:pt>
                <c:pt idx="29">
                  <c:v>2.9960509158234849E-2</c:v>
                </c:pt>
                <c:pt idx="30">
                  <c:v>2.9427215483438122E-2</c:v>
                </c:pt>
                <c:pt idx="31">
                  <c:v>2.9427215483438122E-2</c:v>
                </c:pt>
                <c:pt idx="32">
                  <c:v>2.9427215483438122E-2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RES!$J$98:$AP$98</c:f>
              <c:numCache>
                <c:formatCode>0.000</c:formatCode>
                <c:ptCount val="33"/>
                <c:pt idx="0" formatCode="0.00">
                  <c:v>10.053924891431189</c:v>
                </c:pt>
                <c:pt idx="1">
                  <c:v>10.118379478945931</c:v>
                </c:pt>
                <c:pt idx="2">
                  <c:v>10.182834066460671</c:v>
                </c:pt>
                <c:pt idx="3">
                  <c:v>10.247288653975414</c:v>
                </c:pt>
                <c:pt idx="4">
                  <c:v>10.311743241490154</c:v>
                </c:pt>
                <c:pt idx="5">
                  <c:v>10.376197829004896</c:v>
                </c:pt>
                <c:pt idx="6">
                  <c:v>10.343684833237932</c:v>
                </c:pt>
                <c:pt idx="7">
                  <c:v>10.308649997432125</c:v>
                </c:pt>
                <c:pt idx="8">
                  <c:v>10.271093321587475</c:v>
                </c:pt>
                <c:pt idx="9">
                  <c:v>10.259321886879334</c:v>
                </c:pt>
                <c:pt idx="10">
                  <c:v>10.245501599348923</c:v>
                </c:pt>
                <c:pt idx="11">
                  <c:v>10.229632458996244</c:v>
                </c:pt>
                <c:pt idx="12">
                  <c:v>10.211714465821293</c:v>
                </c:pt>
                <c:pt idx="13">
                  <c:v>10.191747619824078</c:v>
                </c:pt>
                <c:pt idx="14">
                  <c:v>10.132152770575269</c:v>
                </c:pt>
                <c:pt idx="15">
                  <c:v>10.069460902063614</c:v>
                </c:pt>
                <c:pt idx="16">
                  <c:v>10.003672014289117</c:v>
                </c:pt>
                <c:pt idx="17">
                  <c:v>9.9347861072517762</c:v>
                </c:pt>
                <c:pt idx="18">
                  <c:v>9.8628031809515928</c:v>
                </c:pt>
                <c:pt idx="19">
                  <c:v>9.7985767473616079</c:v>
                </c:pt>
                <c:pt idx="20">
                  <c:v>9.7316077083764227</c:v>
                </c:pt>
                <c:pt idx="21">
                  <c:v>9.6618960639960374</c:v>
                </c:pt>
                <c:pt idx="22">
                  <c:v>9.5894418142204518</c:v>
                </c:pt>
                <c:pt idx="23">
                  <c:v>9.5142449590496714</c:v>
                </c:pt>
                <c:pt idx="24">
                  <c:v>9.453209396759485</c:v>
                </c:pt>
                <c:pt idx="25">
                  <c:v>9.3895676784356521</c:v>
                </c:pt>
                <c:pt idx="26">
                  <c:v>9.3233198040781744</c:v>
                </c:pt>
                <c:pt idx="27">
                  <c:v>9.2544657736870537</c:v>
                </c:pt>
                <c:pt idx="28">
                  <c:v>9.1830055872622847</c:v>
                </c:pt>
                <c:pt idx="29">
                  <c:v>8.9495513671685796</c:v>
                </c:pt>
                <c:pt idx="30">
                  <c:v>8.7902503649335237</c:v>
                </c:pt>
                <c:pt idx="31">
                  <c:v>8.7902503649335237</c:v>
                </c:pt>
                <c:pt idx="32">
                  <c:v>8.7902503649335237</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RES!$J$99:$AP$99</c:f>
              <c:numCache>
                <c:formatCode>0.000</c:formatCode>
                <c:ptCount val="33"/>
                <c:pt idx="0" formatCode="0.00">
                  <c:v>14.600188686866282</c:v>
                </c:pt>
                <c:pt idx="1">
                  <c:v>13.692886342241749</c:v>
                </c:pt>
                <c:pt idx="2">
                  <c:v>12.785583997617215</c:v>
                </c:pt>
                <c:pt idx="3">
                  <c:v>11.878281652992682</c:v>
                </c:pt>
                <c:pt idx="4">
                  <c:v>10.970979308368147</c:v>
                </c:pt>
                <c:pt idx="5">
                  <c:v>10.063676963743614</c:v>
                </c:pt>
                <c:pt idx="6">
                  <c:v>10.032143227406431</c:v>
                </c:pt>
                <c:pt idx="7">
                  <c:v>9.9981636063701149</c:v>
                </c:pt>
                <c:pt idx="8">
                  <c:v>9.9617381006346637</c:v>
                </c:pt>
                <c:pt idx="9">
                  <c:v>9.9503212099532448</c:v>
                </c:pt>
                <c:pt idx="10">
                  <c:v>9.9369171758798647</c:v>
                </c:pt>
                <c:pt idx="11">
                  <c:v>9.921525998414527</c:v>
                </c:pt>
                <c:pt idx="12">
                  <c:v>9.9041476775572281</c:v>
                </c:pt>
                <c:pt idx="13">
                  <c:v>9.8847822133079735</c:v>
                </c:pt>
                <c:pt idx="14">
                  <c:v>9.8269823022590028</c:v>
                </c:pt>
                <c:pt idx="15">
                  <c:v>9.7661786511189703</c:v>
                </c:pt>
                <c:pt idx="16">
                  <c:v>9.7023712598878777</c:v>
                </c:pt>
                <c:pt idx="17">
                  <c:v>9.6355601285657251</c:v>
                </c:pt>
                <c:pt idx="18">
                  <c:v>9.5657452571525141</c:v>
                </c:pt>
                <c:pt idx="19">
                  <c:v>9.5034532605238287</c:v>
                </c:pt>
                <c:pt idx="20">
                  <c:v>9.438501263074885</c:v>
                </c:pt>
                <c:pt idx="21">
                  <c:v>9.3708892648056832</c:v>
                </c:pt>
                <c:pt idx="22">
                  <c:v>9.3006172657162232</c:v>
                </c:pt>
                <c:pt idx="23">
                  <c:v>9.2276852658065103</c:v>
                </c:pt>
                <c:pt idx="24">
                  <c:v>9.1684880345748656</c:v>
                </c:pt>
                <c:pt idx="25">
                  <c:v>9.1067631421640556</c:v>
                </c:pt>
                <c:pt idx="26">
                  <c:v>9.0425105885740784</c:v>
                </c:pt>
                <c:pt idx="27">
                  <c:v>8.9757303738049377</c:v>
                </c:pt>
                <c:pt idx="28">
                  <c:v>8.9064224978566298</c:v>
                </c:pt>
                <c:pt idx="29">
                  <c:v>8.67999968908188</c:v>
                </c:pt>
                <c:pt idx="30">
                  <c:v>8.5254966762332938</c:v>
                </c:pt>
                <c:pt idx="31">
                  <c:v>8.5254966762332938</c:v>
                </c:pt>
                <c:pt idx="32">
                  <c:v>8.5254966762332938</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RES!$J$100:$AP$100</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RES!$J$101:$AP$101</c:f>
              <c:numCache>
                <c:formatCode>0.000</c:formatCode>
                <c:ptCount val="33"/>
                <c:pt idx="0" formatCode="0.00">
                  <c:v>5.6486911771289003</c:v>
                </c:pt>
                <c:pt idx="1">
                  <c:v>5.7273475681852952</c:v>
                </c:pt>
                <c:pt idx="2">
                  <c:v>5.8060039592416901</c:v>
                </c:pt>
                <c:pt idx="3">
                  <c:v>5.8846603502980841</c:v>
                </c:pt>
                <c:pt idx="4">
                  <c:v>5.963316741354479</c:v>
                </c:pt>
                <c:pt idx="5">
                  <c:v>6.0419731324108739</c:v>
                </c:pt>
                <c:pt idx="6">
                  <c:v>6.023041087155427</c:v>
                </c:pt>
                <c:pt idx="7">
                  <c:v>6.0026405955567226</c:v>
                </c:pt>
                <c:pt idx="8">
                  <c:v>5.9807716576147589</c:v>
                </c:pt>
                <c:pt idx="9">
                  <c:v>5.9739172497277293</c:v>
                </c:pt>
                <c:pt idx="10">
                  <c:v>5.9658698119940805</c:v>
                </c:pt>
                <c:pt idx="11">
                  <c:v>5.9566293444138143</c:v>
                </c:pt>
                <c:pt idx="12">
                  <c:v>5.9461958469869298</c:v>
                </c:pt>
                <c:pt idx="13">
                  <c:v>5.9345693197134297</c:v>
                </c:pt>
                <c:pt idx="14">
                  <c:v>5.8998677378888367</c:v>
                </c:pt>
                <c:pt idx="15">
                  <c:v>5.8633627876739105</c:v>
                </c:pt>
                <c:pt idx="16">
                  <c:v>5.8250544690686521</c:v>
                </c:pt>
                <c:pt idx="17">
                  <c:v>5.7849427820730615</c:v>
                </c:pt>
                <c:pt idx="18">
                  <c:v>5.7430277266871395</c:v>
                </c:pt>
                <c:pt idx="19">
                  <c:v>5.7056292120735765</c:v>
                </c:pt>
                <c:pt idx="20">
                  <c:v>5.666633701297866</c:v>
                </c:pt>
                <c:pt idx="21">
                  <c:v>5.626041194360007</c:v>
                </c:pt>
                <c:pt idx="22">
                  <c:v>5.5838516912600014</c:v>
                </c:pt>
                <c:pt idx="23">
                  <c:v>5.5400651919978507</c:v>
                </c:pt>
                <c:pt idx="24">
                  <c:v>5.5045246950300646</c:v>
                </c:pt>
                <c:pt idx="25">
                  <c:v>5.4674666552210907</c:v>
                </c:pt>
                <c:pt idx="26">
                  <c:v>5.4288910725709281</c:v>
                </c:pt>
                <c:pt idx="27">
                  <c:v>5.3887979470795786</c:v>
                </c:pt>
                <c:pt idx="28">
                  <c:v>5.3471872787470405</c:v>
                </c:pt>
                <c:pt idx="29">
                  <c:v>5.2112488407277482</c:v>
                </c:pt>
                <c:pt idx="30">
                  <c:v>5.1184892007004681</c:v>
                </c:pt>
                <c:pt idx="31">
                  <c:v>5.1184892007004681</c:v>
                </c:pt>
                <c:pt idx="32">
                  <c:v>5.1184892007004681</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RES!$J$102:$AP$102</c:f>
              <c:numCache>
                <c:formatCode>0.000</c:formatCode>
                <c:ptCount val="33"/>
                <c:pt idx="0" formatCode="0.00">
                  <c:v>1.2642587754949401</c:v>
                </c:pt>
                <c:pt idx="1">
                  <c:v>1.4308973056613448</c:v>
                </c:pt>
                <c:pt idx="2">
                  <c:v>1.5975358358277494</c:v>
                </c:pt>
                <c:pt idx="3">
                  <c:v>1.7641743659941542</c:v>
                </c:pt>
                <c:pt idx="4">
                  <c:v>1.9308128961605588</c:v>
                </c:pt>
                <c:pt idx="5">
                  <c:v>2.0974514263269635</c:v>
                </c:pt>
                <c:pt idx="6">
                  <c:v>2.0908792280642285</c:v>
                </c:pt>
                <c:pt idx="7">
                  <c:v>2.0837972634040511</c:v>
                </c:pt>
                <c:pt idx="8">
                  <c:v>2.0762055323464317</c:v>
                </c:pt>
                <c:pt idx="9">
                  <c:v>2.0738260468233736</c:v>
                </c:pt>
                <c:pt idx="10">
                  <c:v>2.0710324048486726</c:v>
                </c:pt>
                <c:pt idx="11">
                  <c:v>2.0678246064223291</c:v>
                </c:pt>
                <c:pt idx="12">
                  <c:v>2.0642026515443428</c:v>
                </c:pt>
                <c:pt idx="13">
                  <c:v>2.0601665402147145</c:v>
                </c:pt>
                <c:pt idx="14">
                  <c:v>2.0481199983485556</c:v>
                </c:pt>
                <c:pt idx="15">
                  <c:v>2.0354474229798298</c:v>
                </c:pt>
                <c:pt idx="16">
                  <c:v>2.022148814108538</c:v>
                </c:pt>
                <c:pt idx="17">
                  <c:v>2.0082241717346796</c:v>
                </c:pt>
                <c:pt idx="18">
                  <c:v>1.9936734958582552</c:v>
                </c:pt>
                <c:pt idx="19">
                  <c:v>1.9806907224993429</c:v>
                </c:pt>
                <c:pt idx="20">
                  <c:v>1.9671535570892369</c:v>
                </c:pt>
                <c:pt idx="21">
                  <c:v>1.9530619996279368</c:v>
                </c:pt>
                <c:pt idx="22">
                  <c:v>1.938416050115443</c:v>
                </c:pt>
                <c:pt idx="23">
                  <c:v>1.9232157085517567</c:v>
                </c:pt>
                <c:pt idx="24">
                  <c:v>1.9108779400076408</c:v>
                </c:pt>
                <c:pt idx="25">
                  <c:v>1.8980133613756602</c:v>
                </c:pt>
                <c:pt idx="26">
                  <c:v>1.8846219726558147</c:v>
                </c:pt>
                <c:pt idx="27">
                  <c:v>1.8707037738481047</c:v>
                </c:pt>
                <c:pt idx="28">
                  <c:v>1.8562587649525297</c:v>
                </c:pt>
                <c:pt idx="29">
                  <c:v>1.8090681759731224</c:v>
                </c:pt>
                <c:pt idx="30">
                  <c:v>1.7768669670274679</c:v>
                </c:pt>
                <c:pt idx="31">
                  <c:v>1.7768669670274679</c:v>
                </c:pt>
                <c:pt idx="32">
                  <c:v>1.7768669670274679</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RES!$J$103:$AP$103</c:f>
              <c:numCache>
                <c:formatCode>0.000</c:formatCode>
                <c:ptCount val="33"/>
                <c:pt idx="0" formatCode="0.00">
                  <c:v>1.7509162280520163</c:v>
                </c:pt>
                <c:pt idx="1">
                  <c:v>1.8325463231967081</c:v>
                </c:pt>
                <c:pt idx="2">
                  <c:v>1.9141764183413998</c:v>
                </c:pt>
                <c:pt idx="3">
                  <c:v>1.9958065134860918</c:v>
                </c:pt>
                <c:pt idx="4">
                  <c:v>2.0774366086307836</c:v>
                </c:pt>
                <c:pt idx="5">
                  <c:v>2.1590667037754754</c:v>
                </c:pt>
                <c:pt idx="6">
                  <c:v>2.1523014389109005</c:v>
                </c:pt>
                <c:pt idx="7">
                  <c:v>2.1450114326188934</c:v>
                </c:pt>
                <c:pt idx="8">
                  <c:v>2.1371966848994535</c:v>
                </c:pt>
                <c:pt idx="9">
                  <c:v>2.1347472989921252</c:v>
                </c:pt>
                <c:pt idx="10">
                  <c:v>2.1318715902657455</c:v>
                </c:pt>
                <c:pt idx="11">
                  <c:v>2.1285695587203142</c:v>
                </c:pt>
                <c:pt idx="12">
                  <c:v>2.1248412043558309</c:v>
                </c:pt>
                <c:pt idx="13">
                  <c:v>2.120686527172297</c:v>
                </c:pt>
                <c:pt idx="14">
                  <c:v>2.1082861029658551</c:v>
                </c:pt>
                <c:pt idx="15">
                  <c:v>2.0952412547342014</c:v>
                </c:pt>
                <c:pt idx="16">
                  <c:v>2.0815519824773365</c:v>
                </c:pt>
                <c:pt idx="17">
                  <c:v>2.0672182861952604</c:v>
                </c:pt>
                <c:pt idx="18">
                  <c:v>2.052240165887973</c:v>
                </c:pt>
                <c:pt idx="19">
                  <c:v>2.0388760072094678</c:v>
                </c:pt>
                <c:pt idx="20">
                  <c:v>2.0249411705149925</c:v>
                </c:pt>
                <c:pt idx="21">
                  <c:v>2.0104356558045464</c:v>
                </c:pt>
                <c:pt idx="22">
                  <c:v>1.9953594630781302</c:v>
                </c:pt>
                <c:pt idx="23">
                  <c:v>1.9797125923357448</c:v>
                </c:pt>
                <c:pt idx="24">
                  <c:v>1.9670123863008726</c:v>
                </c:pt>
                <c:pt idx="25">
                  <c:v>1.9537698944682722</c:v>
                </c:pt>
                <c:pt idx="26">
                  <c:v>1.9399851168379434</c:v>
                </c:pt>
                <c:pt idx="27">
                  <c:v>1.9256580534098868</c:v>
                </c:pt>
                <c:pt idx="28">
                  <c:v>1.9107887041841018</c:v>
                </c:pt>
                <c:pt idx="29">
                  <c:v>1.8622118322155257</c:v>
                </c:pt>
                <c:pt idx="30">
                  <c:v>1.8290646721987474</c:v>
                </c:pt>
                <c:pt idx="31">
                  <c:v>1.8290646721987474</c:v>
                </c:pt>
                <c:pt idx="32">
                  <c:v>1.8290646721987474</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RES!$J$107:$AP$107</c:f>
              <c:numCache>
                <c:formatCode>0.000</c:formatCode>
                <c:ptCount val="33"/>
                <c:pt idx="0" formatCode="0.00">
                  <c:v>16.038929939348595</c:v>
                </c:pt>
                <c:pt idx="1">
                  <c:v>17.205067118497315</c:v>
                </c:pt>
                <c:pt idx="2">
                  <c:v>18.371204297646038</c:v>
                </c:pt>
                <c:pt idx="3">
                  <c:v>19.537341476794758</c:v>
                </c:pt>
                <c:pt idx="4">
                  <c:v>20.703478655943478</c:v>
                </c:pt>
                <c:pt idx="5">
                  <c:v>21.869615835092201</c:v>
                </c:pt>
                <c:pt idx="6">
                  <c:v>22.398167586894601</c:v>
                </c:pt>
                <c:pt idx="7">
                  <c:v>22.9347253540334</c:v>
                </c:pt>
                <c:pt idx="8">
                  <c:v>23.479344148095688</c:v>
                </c:pt>
                <c:pt idx="9">
                  <c:v>23.962289754086946</c:v>
                </c:pt>
                <c:pt idx="10">
                  <c:v>24.451561218744764</c:v>
                </c:pt>
                <c:pt idx="11">
                  <c:v>24.947198609837496</c:v>
                </c:pt>
                <c:pt idx="12">
                  <c:v>25.449241995133484</c:v>
                </c:pt>
                <c:pt idx="13">
                  <c:v>25.95773144240108</c:v>
                </c:pt>
                <c:pt idx="14">
                  <c:v>26.488676270173116</c:v>
                </c:pt>
                <c:pt idx="15">
                  <c:v>27.026452566553747</c:v>
                </c:pt>
                <c:pt idx="16">
                  <c:v>27.57110254196467</c:v>
                </c:pt>
                <c:pt idx="17">
                  <c:v>28.122668406827614</c:v>
                </c:pt>
                <c:pt idx="18">
                  <c:v>28.681192371564283</c:v>
                </c:pt>
                <c:pt idx="19">
                  <c:v>29.088355755609999</c:v>
                </c:pt>
                <c:pt idx="20">
                  <c:v>29.498171643862968</c:v>
                </c:pt>
                <c:pt idx="21">
                  <c:v>29.910640036323173</c:v>
                </c:pt>
                <c:pt idx="22">
                  <c:v>30.325760932990615</c:v>
                </c:pt>
                <c:pt idx="23">
                  <c:v>30.743534333865298</c:v>
                </c:pt>
                <c:pt idx="24">
                  <c:v>31.180070635571969</c:v>
                </c:pt>
                <c:pt idx="25">
                  <c:v>31.619463694025146</c:v>
                </c:pt>
                <c:pt idx="26">
                  <c:v>32.06171350922483</c:v>
                </c:pt>
                <c:pt idx="27">
                  <c:v>32.506820081171021</c:v>
                </c:pt>
                <c:pt idx="28">
                  <c:v>32.954783409863708</c:v>
                </c:pt>
                <c:pt idx="29">
                  <c:v>36.0763762769556</c:v>
                </c:pt>
                <c:pt idx="30">
                  <c:v>39.362701068608168</c:v>
                </c:pt>
                <c:pt idx="31">
                  <c:v>39.362701068608168</c:v>
                </c:pt>
                <c:pt idx="32">
                  <c:v>39.362701068608168</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RES!$J$108:$AP$108</c:f>
              <c:numCache>
                <c:formatCode>0.000</c:formatCode>
                <c:ptCount val="33"/>
                <c:pt idx="0" formatCode="0.00">
                  <c:v>3.3422499241462768E-2</c:v>
                </c:pt>
                <c:pt idx="1">
                  <c:v>4.1310307072706193E-2</c:v>
                </c:pt>
                <c:pt idx="2">
                  <c:v>4.9198114903949625E-2</c:v>
                </c:pt>
                <c:pt idx="3">
                  <c:v>5.7085922735193056E-2</c:v>
                </c:pt>
                <c:pt idx="4">
                  <c:v>6.4973730566436488E-2</c:v>
                </c:pt>
                <c:pt idx="5">
                  <c:v>7.2861538397679906E-2</c:v>
                </c:pt>
                <c:pt idx="6">
                  <c:v>6.1364994279431657E-2</c:v>
                </c:pt>
                <c:pt idx="7">
                  <c:v>6.2835019190323138E-2</c:v>
                </c:pt>
                <c:pt idx="8">
                  <c:v>6.4327129161036001E-2</c:v>
                </c:pt>
                <c:pt idx="9">
                  <c:v>6.5650271075835792E-2</c:v>
                </c:pt>
                <c:pt idx="10">
                  <c:v>6.699074415307911E-2</c:v>
                </c:pt>
                <c:pt idx="11">
                  <c:v>6.8348658167744922E-2</c:v>
                </c:pt>
                <c:pt idx="12">
                  <c:v>6.9724122894812182E-2</c:v>
                </c:pt>
                <c:pt idx="13">
                  <c:v>7.1117248109259845E-2</c:v>
                </c:pt>
                <c:pt idx="14">
                  <c:v>7.2571895066093434E-2</c:v>
                </c:pt>
                <c:pt idx="15">
                  <c:v>7.404525842151008E-2</c:v>
                </c:pt>
                <c:pt idx="16">
                  <c:v>7.5537453820786388E-2</c:v>
                </c:pt>
                <c:pt idx="17">
                  <c:v>7.704859690919906E-2</c:v>
                </c:pt>
                <c:pt idx="18">
                  <c:v>7.8578803332024688E-2</c:v>
                </c:pt>
                <c:pt idx="19">
                  <c:v>7.9694322208103588E-2</c:v>
                </c:pt>
                <c:pt idx="20">
                  <c:v>8.0817108236947224E-2</c:v>
                </c:pt>
                <c:pt idx="21">
                  <c:v>8.1947161418555556E-2</c:v>
                </c:pt>
                <c:pt idx="22">
                  <c:v>8.3084481752928596E-2</c:v>
                </c:pt>
                <c:pt idx="23">
                  <c:v>8.4229069240066332E-2</c:v>
                </c:pt>
                <c:pt idx="24">
                  <c:v>8.5425062061937534E-2</c:v>
                </c:pt>
                <c:pt idx="25">
                  <c:v>8.6628881633953672E-2</c:v>
                </c:pt>
                <c:pt idx="26">
                  <c:v>8.7840527956114758E-2</c:v>
                </c:pt>
                <c:pt idx="27">
                  <c:v>8.9060001028420779E-2</c:v>
                </c:pt>
                <c:pt idx="28">
                  <c:v>9.0287300850871707E-2</c:v>
                </c:pt>
                <c:pt idx="29">
                  <c:v>9.8839631200604877E-2</c:v>
                </c:pt>
                <c:pt idx="30">
                  <c:v>0.10784328300639415</c:v>
                </c:pt>
                <c:pt idx="31">
                  <c:v>0.10784328300639415</c:v>
                </c:pt>
                <c:pt idx="32">
                  <c:v>0.10784328300639415</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RES!$J$109:$AP$109</c:f>
              <c:numCache>
                <c:formatCode>0.000</c:formatCode>
                <c:ptCount val="33"/>
                <c:pt idx="0" formatCode="0.00">
                  <c:v>9.0435120774465076</c:v>
                </c:pt>
                <c:pt idx="1">
                  <c:v>8.9522489563431584</c:v>
                </c:pt>
                <c:pt idx="2">
                  <c:v>8.8609858352398092</c:v>
                </c:pt>
                <c:pt idx="3">
                  <c:v>8.7697227141364582</c:v>
                </c:pt>
                <c:pt idx="4">
                  <c:v>8.678459593033109</c:v>
                </c:pt>
                <c:pt idx="5">
                  <c:v>8.5871964719297598</c:v>
                </c:pt>
                <c:pt idx="6">
                  <c:v>8.7947345362713794</c:v>
                </c:pt>
                <c:pt idx="7">
                  <c:v>9.0054161961461503</c:v>
                </c:pt>
                <c:pt idx="8">
                  <c:v>9.2192630520846972</c:v>
                </c:pt>
                <c:pt idx="9">
                  <c:v>9.408893671807224</c:v>
                </c:pt>
                <c:pt idx="10">
                  <c:v>9.6010081664927593</c:v>
                </c:pt>
                <c:pt idx="11">
                  <c:v>9.7956222689187626</c:v>
                </c:pt>
                <c:pt idx="12">
                  <c:v>9.9927517118626881</c:v>
                </c:pt>
                <c:pt idx="13">
                  <c:v>10.192412228101993</c:v>
                </c:pt>
                <c:pt idx="14">
                  <c:v>10.40088994376984</c:v>
                </c:pt>
                <c:pt idx="15">
                  <c:v>10.612050064267116</c:v>
                </c:pt>
                <c:pt idx="16">
                  <c:v>10.825909163693112</c:v>
                </c:pt>
                <c:pt idx="17">
                  <c:v>11.042483816147129</c:v>
                </c:pt>
                <c:pt idx="18">
                  <c:v>11.26179059572846</c:v>
                </c:pt>
                <c:pt idx="19">
                  <c:v>11.42166500785078</c:v>
                </c:pt>
                <c:pt idx="20">
                  <c:v>11.582580936885975</c:v>
                </c:pt>
                <c:pt idx="21">
                  <c:v>11.744538382834037</c:v>
                </c:pt>
                <c:pt idx="22">
                  <c:v>11.907537345694967</c:v>
                </c:pt>
                <c:pt idx="23">
                  <c:v>12.071577825468765</c:v>
                </c:pt>
                <c:pt idx="24">
                  <c:v>12.242985637025734</c:v>
                </c:pt>
                <c:pt idx="25">
                  <c:v>12.41551516611262</c:v>
                </c:pt>
                <c:pt idx="26">
                  <c:v>12.589166412729423</c:v>
                </c:pt>
                <c:pt idx="27">
                  <c:v>12.763939376876143</c:v>
                </c:pt>
                <c:pt idx="28">
                  <c:v>12.939834058552774</c:v>
                </c:pt>
                <c:pt idx="29">
                  <c:v>14.165540603067372</c:v>
                </c:pt>
                <c:pt idx="30">
                  <c:v>15.455929829347774</c:v>
                </c:pt>
                <c:pt idx="31">
                  <c:v>15.455929829347774</c:v>
                </c:pt>
                <c:pt idx="32">
                  <c:v>15.455929829347774</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RES!$J$110:$AP$110</c:f>
              <c:numCache>
                <c:formatCode>0.000</c:formatCode>
                <c:ptCount val="33"/>
                <c:pt idx="0" formatCode="0.00">
                  <c:v>13.160101387439708</c:v>
                </c:pt>
                <c:pt idx="1">
                  <c:v>13.113838780615991</c:v>
                </c:pt>
                <c:pt idx="2">
                  <c:v>13.067576173792274</c:v>
                </c:pt>
                <c:pt idx="3">
                  <c:v>13.021313566968555</c:v>
                </c:pt>
                <c:pt idx="4">
                  <c:v>12.975050960144838</c:v>
                </c:pt>
                <c:pt idx="5">
                  <c:v>12.928788353321121</c:v>
                </c:pt>
                <c:pt idx="6">
                  <c:v>13.241255375346501</c:v>
                </c:pt>
                <c:pt idx="7">
                  <c:v>13.558455360155419</c:v>
                </c:pt>
                <c:pt idx="8">
                  <c:v>13.880420829268681</c:v>
                </c:pt>
                <c:pt idx="9">
                  <c:v>14.165926600065458</c:v>
                </c:pt>
                <c:pt idx="10">
                  <c:v>14.455172065627321</c:v>
                </c:pt>
                <c:pt idx="11">
                  <c:v>14.748180913050597</c:v>
                </c:pt>
                <c:pt idx="12">
                  <c:v>15.044976829431599</c:v>
                </c:pt>
                <c:pt idx="13">
                  <c:v>15.345583501866651</c:v>
                </c:pt>
                <c:pt idx="14">
                  <c:v>15.659465252571223</c:v>
                </c:pt>
                <c:pt idx="15">
                  <c:v>15.977385602419416</c:v>
                </c:pt>
                <c:pt idx="16">
                  <c:v>16.299369505192427</c:v>
                </c:pt>
                <c:pt idx="17">
                  <c:v>16.62544191467147</c:v>
                </c:pt>
                <c:pt idx="18">
                  <c:v>16.955627784637745</c:v>
                </c:pt>
                <c:pt idx="19">
                  <c:v>17.196332937267915</c:v>
                </c:pt>
                <c:pt idx="20">
                  <c:v>17.438606186281692</c:v>
                </c:pt>
                <c:pt idx="21">
                  <c:v>17.682447531679067</c:v>
                </c:pt>
                <c:pt idx="22">
                  <c:v>17.927856973460038</c:v>
                </c:pt>
                <c:pt idx="23">
                  <c:v>18.174834511624606</c:v>
                </c:pt>
                <c:pt idx="24">
                  <c:v>18.432904223313407</c:v>
                </c:pt>
                <c:pt idx="25">
                  <c:v>18.692662780550801</c:v>
                </c:pt>
                <c:pt idx="26">
                  <c:v>18.954110183336788</c:v>
                </c:pt>
                <c:pt idx="27">
                  <c:v>19.217246431671366</c:v>
                </c:pt>
                <c:pt idx="28">
                  <c:v>19.482071525554527</c:v>
                </c:pt>
                <c:pt idx="29">
                  <c:v>21.327481788276582</c:v>
                </c:pt>
                <c:pt idx="30">
                  <c:v>23.270277583681967</c:v>
                </c:pt>
                <c:pt idx="31">
                  <c:v>23.270277583681967</c:v>
                </c:pt>
                <c:pt idx="32">
                  <c:v>23.270277583681967</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RES!$J$111:$AP$111</c:f>
              <c:numCache>
                <c:formatCode>0.000</c:formatCode>
                <c:ptCount val="33"/>
                <c:pt idx="0" formatCode="0.00">
                  <c:v>8.7137527293210866</c:v>
                </c:pt>
                <c:pt idx="1">
                  <c:v>8.9845863339707623</c:v>
                </c:pt>
                <c:pt idx="2">
                  <c:v>9.2554199386204399</c:v>
                </c:pt>
                <c:pt idx="3">
                  <c:v>9.5262535432701156</c:v>
                </c:pt>
                <c:pt idx="4">
                  <c:v>9.7970871479197932</c:v>
                </c:pt>
                <c:pt idx="5">
                  <c:v>10.067920752569469</c:v>
                </c:pt>
                <c:pt idx="6">
                  <c:v>10.31124542689866</c:v>
                </c:pt>
                <c:pt idx="7">
                  <c:v>10.558255759382915</c:v>
                </c:pt>
                <c:pt idx="8">
                  <c:v>10.808977075217859</c:v>
                </c:pt>
                <c:pt idx="9">
                  <c:v>11.031306453364484</c:v>
                </c:pt>
                <c:pt idx="10">
                  <c:v>11.256548010866572</c:v>
                </c:pt>
                <c:pt idx="11">
                  <c:v>11.484720193366678</c:v>
                </c:pt>
                <c:pt idx="12">
                  <c:v>11.715841446507355</c:v>
                </c:pt>
                <c:pt idx="13">
                  <c:v>11.949930215931156</c:v>
                </c:pt>
                <c:pt idx="14">
                  <c:v>12.194356569384427</c:v>
                </c:pt>
                <c:pt idx="15">
                  <c:v>12.441927865350344</c:v>
                </c:pt>
                <c:pt idx="16">
                  <c:v>12.692663535865746</c:v>
                </c:pt>
                <c:pt idx="17">
                  <c:v>12.946583012967487</c:v>
                </c:pt>
                <c:pt idx="18">
                  <c:v>13.203705728692409</c:v>
                </c:pt>
                <c:pt idx="19">
                  <c:v>13.391147918570409</c:v>
                </c:pt>
                <c:pt idx="20">
                  <c:v>13.579811218245483</c:v>
                </c:pt>
                <c:pt idx="21">
                  <c:v>13.769695627717624</c:v>
                </c:pt>
                <c:pt idx="22">
                  <c:v>13.960801146986833</c:v>
                </c:pt>
                <c:pt idx="23">
                  <c:v>14.153127776053109</c:v>
                </c:pt>
                <c:pt idx="24">
                  <c:v>14.354092115085999</c:v>
                </c:pt>
                <c:pt idx="25">
                  <c:v>14.556371593842881</c:v>
                </c:pt>
                <c:pt idx="26">
                  <c:v>14.759966212323757</c:v>
                </c:pt>
                <c:pt idx="27">
                  <c:v>14.964875970528627</c:v>
                </c:pt>
                <c:pt idx="28">
                  <c:v>15.171100868457485</c:v>
                </c:pt>
                <c:pt idx="29">
                  <c:v>16.608160844483113</c:v>
                </c:pt>
                <c:pt idx="30">
                  <c:v>18.121056993142091</c:v>
                </c:pt>
                <c:pt idx="31">
                  <c:v>18.121056993142091</c:v>
                </c:pt>
                <c:pt idx="32">
                  <c:v>18.121056993142091</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RES!$J$112:$AP$112</c:f>
              <c:numCache>
                <c:formatCode>0.000</c:formatCode>
                <c:ptCount val="33"/>
                <c:pt idx="0" formatCode="0.00">
                  <c:v>6.084532675932218</c:v>
                </c:pt>
                <c:pt idx="1">
                  <c:v>5.9075367357775663</c:v>
                </c:pt>
                <c:pt idx="2">
                  <c:v>5.7305407956229146</c:v>
                </c:pt>
                <c:pt idx="3">
                  <c:v>5.553544855468262</c:v>
                </c:pt>
                <c:pt idx="4">
                  <c:v>5.3765489153136103</c:v>
                </c:pt>
                <c:pt idx="5">
                  <c:v>5.1995529751589586</c:v>
                </c:pt>
                <c:pt idx="6">
                  <c:v>5.3252174063191902</c:v>
                </c:pt>
                <c:pt idx="7">
                  <c:v>5.4527852865923565</c:v>
                </c:pt>
                <c:pt idx="8">
                  <c:v>5.5822696951136148</c:v>
                </c:pt>
                <c:pt idx="9">
                  <c:v>5.6970911570636895</c:v>
                </c:pt>
                <c:pt idx="10">
                  <c:v>5.8134166068980582</c:v>
                </c:pt>
                <c:pt idx="11">
                  <c:v>5.9312555708235699</c:v>
                </c:pt>
                <c:pt idx="12">
                  <c:v>6.0506175750470712</c:v>
                </c:pt>
                <c:pt idx="13">
                  <c:v>6.1715121457754103</c:v>
                </c:pt>
                <c:pt idx="14">
                  <c:v>6.2977455364167563</c:v>
                </c:pt>
                <c:pt idx="15">
                  <c:v>6.425603124903934</c:v>
                </c:pt>
                <c:pt idx="16">
                  <c:v>6.5550949468647008</c:v>
                </c:pt>
                <c:pt idx="17">
                  <c:v>6.6862310379268219</c:v>
                </c:pt>
                <c:pt idx="18">
                  <c:v>6.8190214337180555</c:v>
                </c:pt>
                <c:pt idx="19">
                  <c:v>6.9158254928681773</c:v>
                </c:pt>
                <c:pt idx="20">
                  <c:v>7.0132601911775065</c:v>
                </c:pt>
                <c:pt idx="21">
                  <c:v>7.1113255286460397</c:v>
                </c:pt>
                <c:pt idx="22">
                  <c:v>7.2100215052737777</c:v>
                </c:pt>
                <c:pt idx="23">
                  <c:v>7.3093481210607205</c:v>
                </c:pt>
                <c:pt idx="24">
                  <c:v>7.4131356609708492</c:v>
                </c:pt>
                <c:pt idx="25">
                  <c:v>7.5176024015652789</c:v>
                </c:pt>
                <c:pt idx="26">
                  <c:v>7.6227483428440106</c:v>
                </c:pt>
                <c:pt idx="27">
                  <c:v>7.7285734848070442</c:v>
                </c:pt>
                <c:pt idx="28">
                  <c:v>7.8350778274543762</c:v>
                </c:pt>
                <c:pt idx="29">
                  <c:v>8.5772439268368075</c:v>
                </c:pt>
                <c:pt idx="30">
                  <c:v>9.3585754315428531</c:v>
                </c:pt>
                <c:pt idx="31">
                  <c:v>9.3585754315428531</c:v>
                </c:pt>
                <c:pt idx="32">
                  <c:v>9.3585754315428531</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RES!$J$113:$AP$113</c:f>
              <c:numCache>
                <c:formatCode>0.000</c:formatCode>
                <c:ptCount val="33"/>
                <c:pt idx="0" formatCode="0.00">
                  <c:v>3.4675669688275099</c:v>
                </c:pt>
                <c:pt idx="1">
                  <c:v>3.6294093972389909</c:v>
                </c:pt>
                <c:pt idx="2">
                  <c:v>3.7912518256504715</c:v>
                </c:pt>
                <c:pt idx="3">
                  <c:v>3.9530942540619525</c:v>
                </c:pt>
                <c:pt idx="4">
                  <c:v>4.1149366824734335</c:v>
                </c:pt>
                <c:pt idx="5">
                  <c:v>4.276779110884914</c:v>
                </c:pt>
                <c:pt idx="6">
                  <c:v>4.3801416531524797</c:v>
                </c:pt>
                <c:pt idx="7">
                  <c:v>4.4850698360517933</c:v>
                </c:pt>
                <c:pt idx="8">
                  <c:v>4.591574417540758</c:v>
                </c:pt>
                <c:pt idx="9">
                  <c:v>4.6860183115246121</c:v>
                </c:pt>
                <c:pt idx="10">
                  <c:v>4.7816992780024492</c:v>
                </c:pt>
                <c:pt idx="11">
                  <c:v>4.8786251525483362</c:v>
                </c:pt>
                <c:pt idx="12">
                  <c:v>4.9768037707363391</c:v>
                </c:pt>
                <c:pt idx="13">
                  <c:v>5.0762429681405257</c:v>
                </c:pt>
                <c:pt idx="14">
                  <c:v>5.1800734956436285</c:v>
                </c:pt>
                <c:pt idx="15">
                  <c:v>5.285239971727731</c:v>
                </c:pt>
                <c:pt idx="16">
                  <c:v>5.3917506509799811</c:v>
                </c:pt>
                <c:pt idx="17">
                  <c:v>5.4996137879875304</c:v>
                </c:pt>
                <c:pt idx="18">
                  <c:v>5.6088376373375262</c:v>
                </c:pt>
                <c:pt idx="19">
                  <c:v>5.6884617088683003</c:v>
                </c:pt>
                <c:pt idx="20">
                  <c:v>5.7686044989111256</c:v>
                </c:pt>
                <c:pt idx="21">
                  <c:v>5.8492660074659995</c:v>
                </c:pt>
                <c:pt idx="22">
                  <c:v>5.9304462345329219</c:v>
                </c:pt>
                <c:pt idx="23">
                  <c:v>6.0121451801118928</c:v>
                </c:pt>
                <c:pt idx="24">
                  <c:v>6.097513361718736</c:v>
                </c:pt>
                <c:pt idx="25">
                  <c:v>6.1834402050629622</c:v>
                </c:pt>
                <c:pt idx="26">
                  <c:v>6.2699257101445722</c:v>
                </c:pt>
                <c:pt idx="27">
                  <c:v>6.3569698769635661</c:v>
                </c:pt>
                <c:pt idx="28">
                  <c:v>6.4445727055199402</c:v>
                </c:pt>
                <c:pt idx="29">
                  <c:v>7.0550252743869173</c:v>
                </c:pt>
                <c:pt idx="30">
                  <c:v>7.6976924948129071</c:v>
                </c:pt>
                <c:pt idx="31">
                  <c:v>7.6976924948129071</c:v>
                </c:pt>
                <c:pt idx="32">
                  <c:v>7.6976924948129071</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RES!$J$114:$AP$114</c:f>
              <c:numCache>
                <c:formatCode>0.000</c:formatCode>
                <c:ptCount val="33"/>
                <c:pt idx="0" formatCode="0.00">
                  <c:v>6.1966615637186973</c:v>
                </c:pt>
                <c:pt idx="1">
                  <c:v>6.5664507313193043</c:v>
                </c:pt>
                <c:pt idx="2">
                  <c:v>6.9362398989199114</c:v>
                </c:pt>
                <c:pt idx="3">
                  <c:v>7.3060290665205176</c:v>
                </c:pt>
                <c:pt idx="4">
                  <c:v>7.6758182341211247</c:v>
                </c:pt>
                <c:pt idx="5">
                  <c:v>8.0456074017217318</c:v>
                </c:pt>
                <c:pt idx="6">
                  <c:v>8.2400561711267599</c:v>
                </c:pt>
                <c:pt idx="7">
                  <c:v>8.4374502714756208</c:v>
                </c:pt>
                <c:pt idx="8">
                  <c:v>8.6378099409670828</c:v>
                </c:pt>
                <c:pt idx="9">
                  <c:v>8.8154806770006537</c:v>
                </c:pt>
                <c:pt idx="10">
                  <c:v>8.9954786315685453</c:v>
                </c:pt>
                <c:pt idx="11">
                  <c:v>9.1778185451918564</c:v>
                </c:pt>
                <c:pt idx="12">
                  <c:v>9.3625151583916821</c:v>
                </c:pt>
                <c:pt idx="13">
                  <c:v>9.5495832116891215</c:v>
                </c:pt>
                <c:pt idx="14">
                  <c:v>9.7449123692033588</c:v>
                </c:pt>
                <c:pt idx="15">
                  <c:v>9.9427547539647669</c:v>
                </c:pt>
                <c:pt idx="16">
                  <c:v>10.14312589475464</c:v>
                </c:pt>
                <c:pt idx="17">
                  <c:v>10.34604132035428</c:v>
                </c:pt>
                <c:pt idx="18">
                  <c:v>10.55151655954498</c:v>
                </c:pt>
                <c:pt idx="19">
                  <c:v>10.701307793240627</c:v>
                </c:pt>
                <c:pt idx="20">
                  <c:v>10.85207485603377</c:v>
                </c:pt>
                <c:pt idx="21">
                  <c:v>11.003817747924405</c:v>
                </c:pt>
                <c:pt idx="22">
                  <c:v>11.156536468912531</c:v>
                </c:pt>
                <c:pt idx="23">
                  <c:v>11.310231018998151</c:v>
                </c:pt>
                <c:pt idx="24">
                  <c:v>11.470828247893946</c:v>
                </c:pt>
                <c:pt idx="25">
                  <c:v>11.632476448301905</c:v>
                </c:pt>
                <c:pt idx="26">
                  <c:v>11.795175620222025</c:v>
                </c:pt>
                <c:pt idx="27">
                  <c:v>11.958925763654308</c:v>
                </c:pt>
                <c:pt idx="28">
                  <c:v>12.123726878598749</c:v>
                </c:pt>
                <c:pt idx="29">
                  <c:v>13.272128883737603</c:v>
                </c:pt>
                <c:pt idx="30">
                  <c:v>14.481134074663494</c:v>
                </c:pt>
                <c:pt idx="31">
                  <c:v>14.481134074663494</c:v>
                </c:pt>
                <c:pt idx="32">
                  <c:v>14.481134074663494</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RES!$J$118:$AP$118</c:f>
              <c:numCache>
                <c:formatCode>0.000</c:formatCode>
                <c:ptCount val="33"/>
                <c:pt idx="0" formatCode="0.00">
                  <c:v>29.137979962225089</c:v>
                </c:pt>
                <c:pt idx="1">
                  <c:v>30.895416547805155</c:v>
                </c:pt>
                <c:pt idx="2">
                  <c:v>32.652853133385221</c:v>
                </c:pt>
                <c:pt idx="3">
                  <c:v>34.410289718965288</c:v>
                </c:pt>
                <c:pt idx="4">
                  <c:v>36.167726304545354</c:v>
                </c:pt>
                <c:pt idx="5">
                  <c:v>37.925162890125421</c:v>
                </c:pt>
                <c:pt idx="6">
                  <c:v>37.056571719218319</c:v>
                </c:pt>
                <c:pt idx="7">
                  <c:v>37.959421278419939</c:v>
                </c:pt>
                <c:pt idx="8">
                  <c:v>38.872648617180189</c:v>
                </c:pt>
                <c:pt idx="9">
                  <c:v>39.59482672625483</c:v>
                </c:pt>
                <c:pt idx="10">
                  <c:v>40.323647451222151</c:v>
                </c:pt>
                <c:pt idx="11">
                  <c:v>41.059110792082123</c:v>
                </c:pt>
                <c:pt idx="12">
                  <c:v>41.801216748834776</c:v>
                </c:pt>
                <c:pt idx="13">
                  <c:v>42.549965321480144</c:v>
                </c:pt>
                <c:pt idx="14">
                  <c:v>43.600628474267417</c:v>
                </c:pt>
                <c:pt idx="15">
                  <c:v>44.663592450416658</c:v>
                </c:pt>
                <c:pt idx="16">
                  <c:v>45.738857249927868</c:v>
                </c:pt>
                <c:pt idx="17">
                  <c:v>46.826422872801039</c:v>
                </c:pt>
                <c:pt idx="18">
                  <c:v>47.92628931903613</c:v>
                </c:pt>
                <c:pt idx="19">
                  <c:v>48.936740868477926</c:v>
                </c:pt>
                <c:pt idx="20">
                  <c:v>49.957531325573363</c:v>
                </c:pt>
                <c:pt idx="21">
                  <c:v>50.988660690322426</c:v>
                </c:pt>
                <c:pt idx="22">
                  <c:v>52.030128962725136</c:v>
                </c:pt>
                <c:pt idx="23">
                  <c:v>53.081936142781508</c:v>
                </c:pt>
                <c:pt idx="24">
                  <c:v>54.073836663449491</c:v>
                </c:pt>
                <c:pt idx="25">
                  <c:v>55.074908102215645</c:v>
                </c:pt>
                <c:pt idx="26">
                  <c:v>56.085150459079983</c:v>
                </c:pt>
                <c:pt idx="27">
                  <c:v>57.104563734042515</c:v>
                </c:pt>
                <c:pt idx="28">
                  <c:v>58.133147927103209</c:v>
                </c:pt>
                <c:pt idx="29">
                  <c:v>63.7188549879113</c:v>
                </c:pt>
                <c:pt idx="30">
                  <c:v>68.493583607486926</c:v>
                </c:pt>
                <c:pt idx="31">
                  <c:v>68.493583607486926</c:v>
                </c:pt>
                <c:pt idx="32">
                  <c:v>68.493583607486926</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RES!$J$119:$AP$119</c:f>
              <c:numCache>
                <c:formatCode>0.000</c:formatCode>
                <c:ptCount val="33"/>
                <c:pt idx="0" formatCode="0.00">
                  <c:v>3.8899651470038408</c:v>
                </c:pt>
                <c:pt idx="1">
                  <c:v>4.388697141528918</c:v>
                </c:pt>
                <c:pt idx="2">
                  <c:v>4.8874291360539948</c:v>
                </c:pt>
                <c:pt idx="3">
                  <c:v>5.3861611305790715</c:v>
                </c:pt>
                <c:pt idx="4">
                  <c:v>5.8848931251041492</c:v>
                </c:pt>
                <c:pt idx="5">
                  <c:v>6.383625119629226</c:v>
                </c:pt>
                <c:pt idx="6">
                  <c:v>6.5411627130052059</c:v>
                </c:pt>
                <c:pt idx="7">
                  <c:v>6.7005321742940387</c:v>
                </c:pt>
                <c:pt idx="8">
                  <c:v>6.8617335034957234</c:v>
                </c:pt>
                <c:pt idx="9">
                  <c:v>6.9892111491619504</c:v>
                </c:pt>
                <c:pt idx="10">
                  <c:v>7.1178613380338263</c:v>
                </c:pt>
                <c:pt idx="11">
                  <c:v>7.2476840701113465</c:v>
                </c:pt>
                <c:pt idx="12">
                  <c:v>7.3786793453945156</c:v>
                </c:pt>
                <c:pt idx="13">
                  <c:v>7.5108471638833407</c:v>
                </c:pt>
                <c:pt idx="14">
                  <c:v>7.6963084281096901</c:v>
                </c:pt>
                <c:pt idx="15">
                  <c:v>7.8839410126547191</c:v>
                </c:pt>
                <c:pt idx="16">
                  <c:v>8.0737449175184288</c:v>
                </c:pt>
                <c:pt idx="17">
                  <c:v>8.2657201427008165</c:v>
                </c:pt>
                <c:pt idx="18">
                  <c:v>8.4598666882018758</c:v>
                </c:pt>
                <c:pt idx="19">
                  <c:v>8.6382298689242614</c:v>
                </c:pt>
                <c:pt idx="20">
                  <c:v>8.8184180559572578</c:v>
                </c:pt>
                <c:pt idx="21">
                  <c:v>9.0004312493008651</c:v>
                </c:pt>
                <c:pt idx="22">
                  <c:v>9.1842694489550851</c:v>
                </c:pt>
                <c:pt idx="23">
                  <c:v>9.3699326549199196</c:v>
                </c:pt>
                <c:pt idx="24">
                  <c:v>9.5450212397454539</c:v>
                </c:pt>
                <c:pt idx="25">
                  <c:v>9.7217286593612737</c:v>
                </c:pt>
                <c:pt idx="26">
                  <c:v>9.9000549137673808</c:v>
                </c:pt>
                <c:pt idx="27">
                  <c:v>10.080000002963779</c:v>
                </c:pt>
                <c:pt idx="28">
                  <c:v>10.26156392695046</c:v>
                </c:pt>
                <c:pt idx="29">
                  <c:v>11.24754339177448</c:v>
                </c:pt>
                <c:pt idx="30">
                  <c:v>12.090370328052808</c:v>
                </c:pt>
                <c:pt idx="31">
                  <c:v>12.090370328052808</c:v>
                </c:pt>
                <c:pt idx="32">
                  <c:v>12.090370328052808</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RES!$J$120:$AP$120</c:f>
              <c:numCache>
                <c:formatCode>0.000</c:formatCode>
                <c:ptCount val="33"/>
                <c:pt idx="0" formatCode="0.00">
                  <c:v>7.0807191761646662</c:v>
                </c:pt>
                <c:pt idx="1">
                  <c:v>7.4891838053592767</c:v>
                </c:pt>
                <c:pt idx="2">
                  <c:v>7.8976484345538882</c:v>
                </c:pt>
                <c:pt idx="3">
                  <c:v>8.3061130637484997</c:v>
                </c:pt>
                <c:pt idx="4">
                  <c:v>8.7145776929431094</c:v>
                </c:pt>
                <c:pt idx="5">
                  <c:v>9.1230423221377208</c:v>
                </c:pt>
                <c:pt idx="6">
                  <c:v>9.3481843229230464</c:v>
                </c:pt>
                <c:pt idx="7">
                  <c:v>9.5759443045866881</c:v>
                </c:pt>
                <c:pt idx="8">
                  <c:v>9.8063222671286425</c:v>
                </c:pt>
                <c:pt idx="9">
                  <c:v>9.9885046376070346</c:v>
                </c:pt>
                <c:pt idx="10">
                  <c:v>10.172362726989531</c:v>
                </c:pt>
                <c:pt idx="11">
                  <c:v>10.357896535276124</c:v>
                </c:pt>
                <c:pt idx="12">
                  <c:v>10.54510606246682</c:v>
                </c:pt>
                <c:pt idx="13">
                  <c:v>10.733991308561627</c:v>
                </c:pt>
                <c:pt idx="14">
                  <c:v>10.999039918238198</c:v>
                </c:pt>
                <c:pt idx="15">
                  <c:v>11.267191631056166</c:v>
                </c:pt>
                <c:pt idx="16">
                  <c:v>11.538446447015534</c:v>
                </c:pt>
                <c:pt idx="17">
                  <c:v>11.8128043661163</c:v>
                </c:pt>
                <c:pt idx="18">
                  <c:v>12.090265388358452</c:v>
                </c:pt>
                <c:pt idx="19">
                  <c:v>12.345169900441695</c:v>
                </c:pt>
                <c:pt idx="20">
                  <c:v>12.602682587268577</c:v>
                </c:pt>
                <c:pt idx="21">
                  <c:v>12.862803448839097</c:v>
                </c:pt>
                <c:pt idx="22">
                  <c:v>13.125532485153258</c:v>
                </c:pt>
                <c:pt idx="23">
                  <c:v>13.390869696211062</c:v>
                </c:pt>
                <c:pt idx="24">
                  <c:v>13.641094378825152</c:v>
                </c:pt>
                <c:pt idx="25">
                  <c:v>13.89363258988547</c:v>
                </c:pt>
                <c:pt idx="26">
                  <c:v>14.148484329392021</c:v>
                </c:pt>
                <c:pt idx="27">
                  <c:v>14.405649597344807</c:v>
                </c:pt>
                <c:pt idx="28">
                  <c:v>14.665128393743819</c:v>
                </c:pt>
                <c:pt idx="29">
                  <c:v>16.074223103689864</c:v>
                </c:pt>
                <c:pt idx="30">
                  <c:v>17.278733967941783</c:v>
                </c:pt>
                <c:pt idx="31">
                  <c:v>17.278733967941783</c:v>
                </c:pt>
                <c:pt idx="32">
                  <c:v>17.278733967941783</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RES!$J$121:$AP$121</c:f>
              <c:numCache>
                <c:formatCode>0.000</c:formatCode>
                <c:ptCount val="33"/>
                <c:pt idx="0" formatCode="0.00">
                  <c:v>31.723289073249305</c:v>
                </c:pt>
                <c:pt idx="1">
                  <c:v>33.216137308815547</c:v>
                </c:pt>
                <c:pt idx="2">
                  <c:v>34.708985544381797</c:v>
                </c:pt>
                <c:pt idx="3">
                  <c:v>36.201833779948039</c:v>
                </c:pt>
                <c:pt idx="4">
                  <c:v>37.694682015514289</c:v>
                </c:pt>
                <c:pt idx="5">
                  <c:v>39.187530251080531</c:v>
                </c:pt>
                <c:pt idx="6">
                  <c:v>40.15461542453793</c:v>
                </c:pt>
                <c:pt idx="7">
                  <c:v>41.132945991937738</c:v>
                </c:pt>
                <c:pt idx="8">
                  <c:v>42.122521953279957</c:v>
                </c:pt>
                <c:pt idx="9">
                  <c:v>42.905076379999166</c:v>
                </c:pt>
                <c:pt idx="10">
                  <c:v>43.694828765790376</c:v>
                </c:pt>
                <c:pt idx="11">
                  <c:v>44.491779110653553</c:v>
                </c:pt>
                <c:pt idx="12">
                  <c:v>45.295927414588725</c:v>
                </c:pt>
                <c:pt idx="13">
                  <c:v>46.107273677595934</c:v>
                </c:pt>
                <c:pt idx="14">
                  <c:v>47.245775510970489</c:v>
                </c:pt>
                <c:pt idx="15">
                  <c:v>48.39760655448481</c:v>
                </c:pt>
                <c:pt idx="16">
                  <c:v>49.562766808138903</c:v>
                </c:pt>
                <c:pt idx="17">
                  <c:v>50.741256271932762</c:v>
                </c:pt>
                <c:pt idx="18">
                  <c:v>51.933074945866338</c:v>
                </c:pt>
                <c:pt idx="19">
                  <c:v>53.028003361813703</c:v>
                </c:pt>
                <c:pt idx="20">
                  <c:v>54.134135049987314</c:v>
                </c:pt>
                <c:pt idx="21">
                  <c:v>55.251470010387159</c:v>
                </c:pt>
                <c:pt idx="22">
                  <c:v>56.380008243013258</c:v>
                </c:pt>
                <c:pt idx="23">
                  <c:v>57.519749747865625</c:v>
                </c:pt>
                <c:pt idx="24">
                  <c:v>58.594576211808736</c:v>
                </c:pt>
                <c:pt idx="25">
                  <c:v>59.679340310892854</c:v>
                </c:pt>
                <c:pt idx="26">
                  <c:v>60.774042045117987</c:v>
                </c:pt>
                <c:pt idx="27">
                  <c:v>61.878681414484149</c:v>
                </c:pt>
                <c:pt idx="28">
                  <c:v>62.993258418991303</c:v>
                </c:pt>
                <c:pt idx="29">
                  <c:v>69.045947820492316</c:v>
                </c:pt>
                <c:pt idx="30">
                  <c:v>74.219858481422676</c:v>
                </c:pt>
                <c:pt idx="31">
                  <c:v>74.219858481422676</c:v>
                </c:pt>
                <c:pt idx="32">
                  <c:v>74.219858481422676</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RES!$J$122:$AP$122</c:f>
              <c:numCache>
                <c:formatCode>0.000</c:formatCode>
                <c:ptCount val="33"/>
                <c:pt idx="0" formatCode="0.00">
                  <c:v>0.56043977372187515</c:v>
                </c:pt>
                <c:pt idx="1">
                  <c:v>1.9626793267777487</c:v>
                </c:pt>
                <c:pt idx="2">
                  <c:v>3.3649188798336223</c:v>
                </c:pt>
                <c:pt idx="3">
                  <c:v>4.7671584328894951</c:v>
                </c:pt>
                <c:pt idx="4">
                  <c:v>6.1693979859453698</c:v>
                </c:pt>
                <c:pt idx="5">
                  <c:v>7.5716375390012427</c:v>
                </c:pt>
                <c:pt idx="6">
                  <c:v>7.7584933667567997</c:v>
                </c:pt>
                <c:pt idx="7">
                  <c:v>7.9475219787212534</c:v>
                </c:pt>
                <c:pt idx="8">
                  <c:v>8.1387233748946031</c:v>
                </c:pt>
                <c:pt idx="9">
                  <c:v>8.2899250055075804</c:v>
                </c:pt>
                <c:pt idx="10">
                  <c:v>8.442517393250812</c:v>
                </c:pt>
                <c:pt idx="11">
                  <c:v>8.5965005381242925</c:v>
                </c:pt>
                <c:pt idx="12">
                  <c:v>8.7518744401280255</c:v>
                </c:pt>
                <c:pt idx="13">
                  <c:v>8.9086390992620217</c:v>
                </c:pt>
                <c:pt idx="14">
                  <c:v>9.1286152795563336</c:v>
                </c:pt>
                <c:pt idx="15">
                  <c:v>9.3511668696101502</c:v>
                </c:pt>
                <c:pt idx="16">
                  <c:v>9.5762938694234734</c:v>
                </c:pt>
                <c:pt idx="17">
                  <c:v>9.8039962789962978</c:v>
                </c:pt>
                <c:pt idx="18">
                  <c:v>10.034274098328618</c:v>
                </c:pt>
                <c:pt idx="19">
                  <c:v>10.245831219779967</c:v>
                </c:pt>
                <c:pt idx="20">
                  <c:v>10.459552986872529</c:v>
                </c:pt>
                <c:pt idx="21">
                  <c:v>10.675439399606301</c:v>
                </c:pt>
                <c:pt idx="22">
                  <c:v>10.893490457981287</c:v>
                </c:pt>
                <c:pt idx="23">
                  <c:v>11.11370616199749</c:v>
                </c:pt>
                <c:pt idx="24">
                  <c:v>11.321379275106709</c:v>
                </c:pt>
                <c:pt idx="25">
                  <c:v>11.530972493177902</c:v>
                </c:pt>
                <c:pt idx="26">
                  <c:v>11.742485816211069</c:v>
                </c:pt>
                <c:pt idx="27">
                  <c:v>11.955919244206212</c:v>
                </c:pt>
                <c:pt idx="28">
                  <c:v>12.171272777163326</c:v>
                </c:pt>
                <c:pt idx="29">
                  <c:v>13.34074607621249</c:v>
                </c:pt>
                <c:pt idx="30">
                  <c:v>14.340425717484573</c:v>
                </c:pt>
                <c:pt idx="31">
                  <c:v>14.340425717484573</c:v>
                </c:pt>
                <c:pt idx="32">
                  <c:v>14.340425717484573</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RES!$J$123:$AP$123</c:f>
              <c:numCache>
                <c:formatCode>0.000</c:formatCode>
                <c:ptCount val="33"/>
                <c:pt idx="0" formatCode="0.00">
                  <c:v>5.2199769796058071</c:v>
                </c:pt>
                <c:pt idx="1">
                  <c:v>5.5365127481796916</c:v>
                </c:pt>
                <c:pt idx="2">
                  <c:v>5.8530485167535753</c:v>
                </c:pt>
                <c:pt idx="3">
                  <c:v>6.1695842853274598</c:v>
                </c:pt>
                <c:pt idx="4">
                  <c:v>6.4861200539013435</c:v>
                </c:pt>
                <c:pt idx="5">
                  <c:v>6.802655822475228</c:v>
                </c:pt>
                <c:pt idx="6">
                  <c:v>6.9705344191588772</c:v>
                </c:pt>
                <c:pt idx="7">
                  <c:v>7.1403651303056792</c:v>
                </c:pt>
                <c:pt idx="8">
                  <c:v>7.3121479559156324</c:v>
                </c:pt>
                <c:pt idx="9">
                  <c:v>7.4479934249517532</c:v>
                </c:pt>
                <c:pt idx="10">
                  <c:v>7.5850884046836828</c:v>
                </c:pt>
                <c:pt idx="11">
                  <c:v>7.723432895111416</c:v>
                </c:pt>
                <c:pt idx="12">
                  <c:v>7.8630268962349588</c:v>
                </c:pt>
                <c:pt idx="13">
                  <c:v>8.0038704080543166</c:v>
                </c:pt>
                <c:pt idx="14">
                  <c:v>8.2015056271171609</c:v>
                </c:pt>
                <c:pt idx="15">
                  <c:v>8.4014546952127276</c:v>
                </c:pt>
                <c:pt idx="16">
                  <c:v>8.6037176123410202</c:v>
                </c:pt>
                <c:pt idx="17">
                  <c:v>8.8082943785020351</c:v>
                </c:pt>
                <c:pt idx="18">
                  <c:v>9.0151849936957653</c:v>
                </c:pt>
                <c:pt idx="19">
                  <c:v>9.2052562004346115</c:v>
                </c:pt>
                <c:pt idx="20">
                  <c:v>9.3972722096285324</c:v>
                </c:pt>
                <c:pt idx="21">
                  <c:v>9.5912330212775281</c:v>
                </c:pt>
                <c:pt idx="22">
                  <c:v>9.7871386353816003</c:v>
                </c:pt>
                <c:pt idx="23">
                  <c:v>9.9849890519407509</c:v>
                </c:pt>
                <c:pt idx="24">
                  <c:v>10.171570713409235</c:v>
                </c:pt>
                <c:pt idx="25">
                  <c:v>10.359877472405438</c:v>
                </c:pt>
                <c:pt idx="26">
                  <c:v>10.549909328929363</c:v>
                </c:pt>
                <c:pt idx="27">
                  <c:v>10.741666282981013</c:v>
                </c:pt>
                <c:pt idx="28">
                  <c:v>10.935148334560381</c:v>
                </c:pt>
                <c:pt idx="29">
                  <c:v>11.985848966494686</c:v>
                </c:pt>
                <c:pt idx="30">
                  <c:v>12.884000323751351</c:v>
                </c:pt>
                <c:pt idx="31">
                  <c:v>12.884000323751351</c:v>
                </c:pt>
                <c:pt idx="32">
                  <c:v>12.884000323751351</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RES!$J$124:$AP$124</c:f>
              <c:numCache>
                <c:formatCode>0.000</c:formatCode>
                <c:ptCount val="33"/>
                <c:pt idx="0" formatCode="0.00">
                  <c:v>11.683546033026639</c:v>
                </c:pt>
                <c:pt idx="1">
                  <c:v>12.392028127426933</c:v>
                </c:pt>
                <c:pt idx="2">
                  <c:v>13.100510221827227</c:v>
                </c:pt>
                <c:pt idx="3">
                  <c:v>13.808992316227521</c:v>
                </c:pt>
                <c:pt idx="4">
                  <c:v>14.517474410627814</c:v>
                </c:pt>
                <c:pt idx="5">
                  <c:v>15.225956505028108</c:v>
                </c:pt>
                <c:pt idx="6">
                  <c:v>15.60170860508075</c:v>
                </c:pt>
                <c:pt idx="7">
                  <c:v>15.98183000010942</c:v>
                </c:pt>
                <c:pt idx="8">
                  <c:v>16.366320690114119</c:v>
                </c:pt>
                <c:pt idx="9">
                  <c:v>16.670375056074459</c:v>
                </c:pt>
                <c:pt idx="10">
                  <c:v>16.97722612320614</c:v>
                </c:pt>
                <c:pt idx="11">
                  <c:v>17.286873891509153</c:v>
                </c:pt>
                <c:pt idx="12">
                  <c:v>17.599318360983506</c:v>
                </c:pt>
                <c:pt idx="13">
                  <c:v>17.914559531629219</c:v>
                </c:pt>
                <c:pt idx="14">
                  <c:v>18.356914007269534</c:v>
                </c:pt>
                <c:pt idx="15">
                  <c:v>18.804447425612647</c:v>
                </c:pt>
                <c:pt idx="16">
                  <c:v>19.257159786658558</c:v>
                </c:pt>
                <c:pt idx="17">
                  <c:v>19.715051090407265</c:v>
                </c:pt>
                <c:pt idx="18">
                  <c:v>20.178121336858752</c:v>
                </c:pt>
                <c:pt idx="19">
                  <c:v>20.603545759641158</c:v>
                </c:pt>
                <c:pt idx="20">
                  <c:v>21.033323111391983</c:v>
                </c:pt>
                <c:pt idx="21">
                  <c:v>21.467453392111224</c:v>
                </c:pt>
                <c:pt idx="22">
                  <c:v>21.905936601798889</c:v>
                </c:pt>
                <c:pt idx="23">
                  <c:v>22.348772740454983</c:v>
                </c:pt>
                <c:pt idx="24">
                  <c:v>22.766386733620571</c:v>
                </c:pt>
                <c:pt idx="25">
                  <c:v>23.18786190403949</c:v>
                </c:pt>
                <c:pt idx="26">
                  <c:v>23.613198251711747</c:v>
                </c:pt>
                <c:pt idx="27">
                  <c:v>24.042395776637349</c:v>
                </c:pt>
                <c:pt idx="28">
                  <c:v>24.475454478816278</c:v>
                </c:pt>
                <c:pt idx="29">
                  <c:v>26.827171593297052</c:v>
                </c:pt>
                <c:pt idx="30">
                  <c:v>28.837447264651839</c:v>
                </c:pt>
                <c:pt idx="31">
                  <c:v>28.837447264651839</c:v>
                </c:pt>
                <c:pt idx="32">
                  <c:v>28.837447264651839</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AFFB-4B3E-9BAF-5E386AF87329}"/>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1.7310720218064439</c:v>
                </c:pt>
                <c:pt idx="7">
                  <c:v>3.4579552543814103</c:v>
                </c:pt>
                <c:pt idx="8">
                  <c:v>5.180728624300535</c:v>
                </c:pt>
                <c:pt idx="9">
                  <c:v>6.8994686449291791</c:v>
                </c:pt>
                <c:pt idx="10">
                  <c:v>8.6142495178525458</c:v>
                </c:pt>
                <c:pt idx="11">
                  <c:v>10.540679312344331</c:v>
                </c:pt>
                <c:pt idx="12">
                  <c:v>12.460047593364905</c:v>
                </c:pt>
                <c:pt idx="13">
                  <c:v>14.372523955187173</c:v>
                </c:pt>
                <c:pt idx="14">
                  <c:v>16.278271404322695</c:v>
                </c:pt>
                <c:pt idx="15">
                  <c:v>18.177446710175062</c:v>
                </c:pt>
                <c:pt idx="16">
                  <c:v>20.347947109123936</c:v>
                </c:pt>
                <c:pt idx="17">
                  <c:v>22.506932477808999</c:v>
                </c:pt>
                <c:pt idx="18">
                  <c:v>24.654747955316353</c:v>
                </c:pt>
                <c:pt idx="19">
                  <c:v>24.654747955316353</c:v>
                </c:pt>
                <c:pt idx="20">
                  <c:v>24.654747955316353</c:v>
                </c:pt>
                <c:pt idx="21">
                  <c:v>24.654747955316353</c:v>
                </c:pt>
                <c:pt idx="22">
                  <c:v>24.654747955316353</c:v>
                </c:pt>
                <c:pt idx="23">
                  <c:v>24.654747955316353</c:v>
                </c:pt>
                <c:pt idx="24">
                  <c:v>24.654747955316353</c:v>
                </c:pt>
                <c:pt idx="25">
                  <c:v>24.654747955316353</c:v>
                </c:pt>
                <c:pt idx="26">
                  <c:v>24.654747955316353</c:v>
                </c:pt>
                <c:pt idx="27">
                  <c:v>24.654747955316353</c:v>
                </c:pt>
                <c:pt idx="28">
                  <c:v>24.654747955316353</c:v>
                </c:pt>
                <c:pt idx="29">
                  <c:v>24.654747955316353</c:v>
                </c:pt>
                <c:pt idx="30">
                  <c:v>24.654747955316353</c:v>
                </c:pt>
                <c:pt idx="31">
                  <c:v>24.654747955316353</c:v>
                </c:pt>
                <c:pt idx="32">
                  <c:v>24.654747955316353</c:v>
                </c:pt>
                <c:pt idx="33">
                  <c:v>24.654747955316353</c:v>
                </c:pt>
                <c:pt idx="34">
                  <c:v>24.654747955316353</c:v>
                </c:pt>
                <c:pt idx="35">
                  <c:v>24.654747955316353</c:v>
                </c:pt>
                <c:pt idx="36">
                  <c:v>24.654747955316353</c:v>
                </c:pt>
                <c:pt idx="37">
                  <c:v>24.654747955316353</c:v>
                </c:pt>
                <c:pt idx="38">
                  <c:v>24.654747955316353</c:v>
                </c:pt>
              </c:numCache>
            </c:numRef>
          </c:val>
          <c:extLst>
            <c:ext xmlns:c16="http://schemas.microsoft.com/office/drawing/2014/chart" uri="{C3380CC4-5D6E-409C-BE32-E72D297353CC}">
              <c16:uniqueId val="{00000001-AFFB-4B3E-9BAF-5E386AF87329}"/>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2.1369740566575928</c:v>
                </c:pt>
                <c:pt idx="20">
                  <c:v>4.2634195931607124</c:v>
                </c:pt>
                <c:pt idx="21">
                  <c:v>6.5288729339049922</c:v>
                </c:pt>
                <c:pt idx="22">
                  <c:v>8.781222968291317</c:v>
                </c:pt>
                <c:pt idx="23">
                  <c:v>11.020879314518425</c:v>
                </c:pt>
                <c:pt idx="24">
                  <c:v>13.248230974741432</c:v>
                </c:pt>
                <c:pt idx="25">
                  <c:v>15.463647750628802</c:v>
                </c:pt>
                <c:pt idx="26">
                  <c:v>17.816004862381554</c:v>
                </c:pt>
                <c:pt idx="27">
                  <c:v>20.153866602914654</c:v>
                </c:pt>
                <c:pt idx="28">
                  <c:v>22.477698717158994</c:v>
                </c:pt>
                <c:pt idx="29">
                  <c:v>22.477698717158994</c:v>
                </c:pt>
                <c:pt idx="30">
                  <c:v>22.477698717158994</c:v>
                </c:pt>
                <c:pt idx="31">
                  <c:v>22.477698717158994</c:v>
                </c:pt>
                <c:pt idx="32">
                  <c:v>22.477698717158994</c:v>
                </c:pt>
                <c:pt idx="33">
                  <c:v>22.477698717158994</c:v>
                </c:pt>
                <c:pt idx="34">
                  <c:v>22.477698717158994</c:v>
                </c:pt>
                <c:pt idx="35">
                  <c:v>22.477698717158994</c:v>
                </c:pt>
                <c:pt idx="36">
                  <c:v>22.477698717158994</c:v>
                </c:pt>
                <c:pt idx="37">
                  <c:v>22.477698717158994</c:v>
                </c:pt>
                <c:pt idx="38">
                  <c:v>22.477698717158994</c:v>
                </c:pt>
              </c:numCache>
            </c:numRef>
          </c:val>
          <c:extLst>
            <c:ext xmlns:c16="http://schemas.microsoft.com/office/drawing/2014/chart" uri="{C3380CC4-5D6E-409C-BE32-E72D297353CC}">
              <c16:uniqueId val="{00000002-AFFB-4B3E-9BAF-5E386AF87329}"/>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2.3102441528672415</c:v>
                </c:pt>
                <c:pt idx="30">
                  <c:v>4.6073196268403009</c:v>
                </c:pt>
                <c:pt idx="31">
                  <c:v>6.9327700271583339</c:v>
                </c:pt>
                <c:pt idx="32">
                  <c:v>9.2449491815996865</c:v>
                </c:pt>
                <c:pt idx="33">
                  <c:v>11.544256714069149</c:v>
                </c:pt>
                <c:pt idx="34">
                  <c:v>13.831072860463287</c:v>
                </c:pt>
                <c:pt idx="35">
                  <c:v>16.105759752812872</c:v>
                </c:pt>
                <c:pt idx="36">
                  <c:v>18.378703090290664</c:v>
                </c:pt>
                <c:pt idx="37">
                  <c:v>20.639991951264953</c:v>
                </c:pt>
                <c:pt idx="38">
                  <c:v>22.889949033070273</c:v>
                </c:pt>
              </c:numCache>
            </c:numRef>
          </c:val>
          <c:extLst>
            <c:ext xmlns:c16="http://schemas.microsoft.com/office/drawing/2014/chart" uri="{C3380CC4-5D6E-409C-BE32-E72D297353CC}">
              <c16:uniqueId val="{00000003-AFFB-4B3E-9BAF-5E386AF87329}"/>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1.4912179058134039</c:v>
                </c:pt>
                <c:pt idx="7">
                  <c:v>2.9788274132314947</c:v>
                </c:pt>
                <c:pt idx="8">
                  <c:v>4.4628965129105538</c:v>
                </c:pt>
                <c:pt idx="9">
                  <c:v>5.9434911166665101</c:v>
                </c:pt>
                <c:pt idx="10">
                  <c:v>7.4206751448510868</c:v>
                </c:pt>
                <c:pt idx="11">
                  <c:v>9.0801824141331462</c:v>
                </c:pt>
                <c:pt idx="12">
                  <c:v>10.733606600101652</c:v>
                </c:pt>
                <c:pt idx="13">
                  <c:v>12.381093798362846</c:v>
                </c:pt>
                <c:pt idx="14">
                  <c:v>14.022784429549574</c:v>
                </c:pt>
                <c:pt idx="15">
                  <c:v>15.658813541388783</c:v>
                </c:pt>
                <c:pt idx="16">
                  <c:v>17.528573446646845</c:v>
                </c:pt>
                <c:pt idx="17">
                  <c:v>19.388413822792849</c:v>
                </c:pt>
                <c:pt idx="18">
                  <c:v>21.238631987083792</c:v>
                </c:pt>
                <c:pt idx="19">
                  <c:v>23.061102108505345</c:v>
                </c:pt>
                <c:pt idx="20">
                  <c:v>24.874593219000431</c:v>
                </c:pt>
                <c:pt idx="21">
                  <c:v>26.806633999803712</c:v>
                </c:pt>
                <c:pt idx="22">
                  <c:v>28.72749992134522</c:v>
                </c:pt>
                <c:pt idx="23">
                  <c:v>30.637540317266172</c:v>
                </c:pt>
                <c:pt idx="24">
                  <c:v>32.537086939280002</c:v>
                </c:pt>
                <c:pt idx="25">
                  <c:v>34.426455164398206</c:v>
                </c:pt>
                <c:pt idx="26">
                  <c:v>36.432609866055316</c:v>
                </c:pt>
                <c:pt idx="27">
                  <c:v>38.426402517333557</c:v>
                </c:pt>
                <c:pt idx="28">
                  <c:v>40.408230318291643</c:v>
                </c:pt>
                <c:pt idx="29">
                  <c:v>50.056584079287553</c:v>
                </c:pt>
                <c:pt idx="30">
                  <c:v>59.538983498188863</c:v>
                </c:pt>
                <c:pt idx="31" formatCode="0.00">
                  <c:v>59.538983498188863</c:v>
                </c:pt>
                <c:pt idx="32" formatCode="0.00">
                  <c:v>59.538983498188863</c:v>
                </c:pt>
              </c:numCache>
            </c:numRef>
          </c:val>
          <c:smooth val="0"/>
          <c:extLst>
            <c:ext xmlns:c16="http://schemas.microsoft.com/office/drawing/2014/chart" uri="{C3380CC4-5D6E-409C-BE32-E72D297353CC}">
              <c16:uniqueId val="{00000000-EA28-4A81-B01D-D4DD5A92369D}"/>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0.14221199111343469</c:v>
                </c:pt>
                <c:pt idx="7">
                  <c:v>0.28407986248519546</c:v>
                </c:pt>
                <c:pt idx="8">
                  <c:v>0.42561009813520273</c:v>
                </c:pt>
                <c:pt idx="9">
                  <c:v>0.56680898383198464</c:v>
                </c:pt>
                <c:pt idx="10">
                  <c:v>0.70768261542542077</c:v>
                </c:pt>
                <c:pt idx="11">
                  <c:v>0.86594374688835762</c:v>
                </c:pt>
                <c:pt idx="12">
                  <c:v>1.0236247569708061</c:v>
                </c:pt>
                <c:pt idx="13">
                  <c:v>1.1807395782757586</c:v>
                </c:pt>
                <c:pt idx="14">
                  <c:v>1.3373016022047752</c:v>
                </c:pt>
                <c:pt idx="15">
                  <c:v>1.4933237077650547</c:v>
                </c:pt>
                <c:pt idx="16">
                  <c:v>1.6716358632147816</c:v>
                </c:pt>
                <c:pt idx="17">
                  <c:v>1.8490020294965714</c:v>
                </c:pt>
                <c:pt idx="18">
                  <c:v>2.0254505606685034</c:v>
                </c:pt>
                <c:pt idx="19">
                  <c:v>2.1992528626001788</c:v>
                </c:pt>
                <c:pt idx="20">
                  <c:v>2.3721988691392735</c:v>
                </c:pt>
                <c:pt idx="21">
                  <c:v>2.5564505236287083</c:v>
                </c:pt>
                <c:pt idx="22">
                  <c:v>2.7396364727106142</c:v>
                </c:pt>
                <c:pt idx="23">
                  <c:v>2.921790031055159</c:v>
                </c:pt>
                <c:pt idx="24">
                  <c:v>3.1029428366084391</c:v>
                </c:pt>
                <c:pt idx="25">
                  <c:v>3.2831249657211896</c:v>
                </c:pt>
                <c:pt idx="26">
                  <c:v>3.4744445934509924</c:v>
                </c:pt>
                <c:pt idx="27">
                  <c:v>3.6645852977037028</c:v>
                </c:pt>
                <c:pt idx="28">
                  <c:v>3.853584957994447</c:v>
                </c:pt>
                <c:pt idx="29">
                  <c:v>4.773713125694786</c:v>
                </c:pt>
                <c:pt idx="30">
                  <c:v>5.6780148354836513</c:v>
                </c:pt>
                <c:pt idx="31" formatCode="0.00">
                  <c:v>5.6780148354836513</c:v>
                </c:pt>
                <c:pt idx="32" formatCode="0.00">
                  <c:v>5.6780148354836513</c:v>
                </c:pt>
              </c:numCache>
            </c:numRef>
          </c:val>
          <c:smooth val="0"/>
          <c:extLst>
            <c:ext xmlns:c16="http://schemas.microsoft.com/office/drawing/2014/chart" uri="{C3380CC4-5D6E-409C-BE32-E72D297353CC}">
              <c16:uniqueId val="{00000001-EA28-4A81-B01D-D4DD5A92369D}"/>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0.1063672851732594</c:v>
                </c:pt>
                <c:pt idx="7">
                  <c:v>0.21247718640575686</c:v>
                </c:pt>
                <c:pt idx="8">
                  <c:v>0.31833455341227768</c:v>
                </c:pt>
                <c:pt idx="9">
                  <c:v>0.42394408762572017</c:v>
                </c:pt>
                <c:pt idx="10">
                  <c:v>0.52931034842956137</c:v>
                </c:pt>
                <c:pt idx="11">
                  <c:v>0.64768156853809289</c:v>
                </c:pt>
                <c:pt idx="12">
                  <c:v>0.76561888756816809</c:v>
                </c:pt>
                <c:pt idx="13">
                  <c:v>0.88313272639318985</c:v>
                </c:pt>
                <c:pt idx="14">
                  <c:v>1.0002331010956094</c:v>
                </c:pt>
                <c:pt idx="15">
                  <c:v>1.1169296445131416</c:v>
                </c:pt>
                <c:pt idx="16">
                  <c:v>1.250298003538866</c:v>
                </c:pt>
                <c:pt idx="17">
                  <c:v>1.3829588111210798</c:v>
                </c:pt>
                <c:pt idx="18">
                  <c:v>1.5149332746429156</c:v>
                </c:pt>
                <c:pt idx="19">
                  <c:v>1.6449284942344162</c:v>
                </c:pt>
                <c:pt idx="20">
                  <c:v>1.7742832487322062</c:v>
                </c:pt>
                <c:pt idx="21">
                  <c:v>1.9120940488150913</c:v>
                </c:pt>
                <c:pt idx="22">
                  <c:v>2.0491077558391857</c:v>
                </c:pt>
                <c:pt idx="23">
                  <c:v>2.1853492874713787</c:v>
                </c:pt>
                <c:pt idx="24">
                  <c:v>2.3208423072748365</c:v>
                </c:pt>
                <c:pt idx="25">
                  <c:v>2.4556093108193808</c:v>
                </c:pt>
                <c:pt idx="26">
                  <c:v>2.5987065928604256</c:v>
                </c:pt>
                <c:pt idx="27">
                  <c:v>2.7409221005257414</c:v>
                </c:pt>
                <c:pt idx="28">
                  <c:v>2.8822841657524307</c:v>
                </c:pt>
                <c:pt idx="29">
                  <c:v>3.5704929057008354</c:v>
                </c:pt>
                <c:pt idx="30">
                  <c:v>4.2468642657716913</c:v>
                </c:pt>
                <c:pt idx="31" formatCode="0.00">
                  <c:v>4.2468642657716913</c:v>
                </c:pt>
                <c:pt idx="32" formatCode="0.00">
                  <c:v>4.2468642657716913</c:v>
                </c:pt>
              </c:numCache>
            </c:numRef>
          </c:val>
          <c:smooth val="0"/>
          <c:extLst>
            <c:ext xmlns:c16="http://schemas.microsoft.com/office/drawing/2014/chart" uri="{C3380CC4-5D6E-409C-BE32-E72D297353CC}">
              <c16:uniqueId val="{00000002-EA28-4A81-B01D-D4DD5A92369D}"/>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1.2977039035729891</c:v>
                </c:pt>
                <c:pt idx="7">
                  <c:v>2.5922676673548795</c:v>
                </c:pt>
                <c:pt idx="8">
                  <c:v>3.883750458915828</c:v>
                </c:pt>
                <c:pt idx="9">
                  <c:v>5.1722096367548778</c:v>
                </c:pt>
                <c:pt idx="10">
                  <c:v>6.4577008263373781</c:v>
                </c:pt>
                <c:pt idx="11">
                  <c:v>7.9018553345146394</c:v>
                </c:pt>
                <c:pt idx="12">
                  <c:v>9.3407161556117035</c:v>
                </c:pt>
                <c:pt idx="13">
                  <c:v>10.774410426539808</c:v>
                </c:pt>
                <c:pt idx="14">
                  <c:v>12.203060345672958</c:v>
                </c:pt>
                <c:pt idx="15">
                  <c:v>13.626783435716412</c:v>
                </c:pt>
                <c:pt idx="16">
                  <c:v>15.253906284991844</c:v>
                </c:pt>
                <c:pt idx="17">
                  <c:v>16.872396853498557</c:v>
                </c:pt>
                <c:pt idx="18">
                  <c:v>18.482513875901351</c:v>
                </c:pt>
                <c:pt idx="19">
                  <c:v>20.068483693923255</c:v>
                </c:pt>
                <c:pt idx="20">
                  <c:v>21.646639699165632</c:v>
                </c:pt>
                <c:pt idx="21">
                  <c:v>23.327961290957433</c:v>
                </c:pt>
                <c:pt idx="22">
                  <c:v>24.999558174891749</c:v>
                </c:pt>
                <c:pt idx="23">
                  <c:v>26.661734351898353</c:v>
                </c:pt>
                <c:pt idx="24">
                  <c:v>28.31477852257014</c:v>
                </c:pt>
                <c:pt idx="25">
                  <c:v>29.958965137728356</c:v>
                </c:pt>
                <c:pt idx="26">
                  <c:v>31.70478295373136</c:v>
                </c:pt>
                <c:pt idx="27">
                  <c:v>33.439842931479959</c:v>
                </c:pt>
                <c:pt idx="28">
                  <c:v>35.164490726739594</c:v>
                </c:pt>
                <c:pt idx="29">
                  <c:v>43.5607863250465</c:v>
                </c:pt>
                <c:pt idx="30">
                  <c:v>51.812663326506168</c:v>
                </c:pt>
                <c:pt idx="31" formatCode="0.00">
                  <c:v>51.812663326506168</c:v>
                </c:pt>
                <c:pt idx="32" formatCode="0.00">
                  <c:v>51.812663326506168</c:v>
                </c:pt>
              </c:numCache>
            </c:numRef>
          </c:val>
          <c:smooth val="0"/>
          <c:extLst>
            <c:ext xmlns:c16="http://schemas.microsoft.com/office/drawing/2014/chart" uri="{C3380CC4-5D6E-409C-BE32-E72D297353CC}">
              <c16:uniqueId val="{00000003-EA28-4A81-B01D-D4DD5A92369D}"/>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0.31568483105210576</c:v>
                </c:pt>
                <c:pt idx="7">
                  <c:v>0.63060577868157275</c:v>
                </c:pt>
                <c:pt idx="8">
                  <c:v>0.94477723623678911</c:v>
                </c:pt>
                <c:pt idx="9">
                  <c:v>1.2582131569840045</c:v>
                </c:pt>
                <c:pt idx="10">
                  <c:v>1.5709270726045084</c:v>
                </c:pt>
                <c:pt idx="11">
                  <c:v>1.9222380848252816</c:v>
                </c:pt>
                <c:pt idx="12">
                  <c:v>2.2722613327826098</c:v>
                </c:pt>
                <c:pt idx="13">
                  <c:v>2.6210277443285501</c:v>
                </c:pt>
                <c:pt idx="14">
                  <c:v>2.9685670459461213</c:v>
                </c:pt>
                <c:pt idx="15">
                  <c:v>3.314907826695781</c:v>
                </c:pt>
                <c:pt idx="16">
                  <c:v>3.7107284760444292</c:v>
                </c:pt>
                <c:pt idx="17">
                  <c:v>4.1044492009892393</c:v>
                </c:pt>
                <c:pt idx="18">
                  <c:v>4.4961329423973249</c:v>
                </c:pt>
                <c:pt idx="19">
                  <c:v>4.8819425347685046</c:v>
                </c:pt>
                <c:pt idx="20">
                  <c:v>5.2658513066517552</c:v>
                </c:pt>
                <c:pt idx="21">
                  <c:v>5.6748565667790309</c:v>
                </c:pt>
                <c:pt idx="22">
                  <c:v>6.0814961541603374</c:v>
                </c:pt>
                <c:pt idx="23">
                  <c:v>6.4858440213220483</c:v>
                </c:pt>
                <c:pt idx="24">
                  <c:v>6.8879703987671634</c:v>
                </c:pt>
                <c:pt idx="25">
                  <c:v>7.2879420505401606</c:v>
                </c:pt>
                <c:pt idx="26">
                  <c:v>7.7126369295300714</c:v>
                </c:pt>
                <c:pt idx="27">
                  <c:v>8.1347148121909445</c:v>
                </c:pt>
                <c:pt idx="28">
                  <c:v>8.5542597841771535</c:v>
                </c:pt>
                <c:pt idx="29">
                  <c:v>10.596777457212706</c:v>
                </c:pt>
                <c:pt idx="30">
                  <c:v>12.604163263709999</c:v>
                </c:pt>
                <c:pt idx="31" formatCode="0.00">
                  <c:v>12.604163263709999</c:v>
                </c:pt>
                <c:pt idx="32" formatCode="0.00">
                  <c:v>12.604163263709999</c:v>
                </c:pt>
              </c:numCache>
            </c:numRef>
          </c:val>
          <c:smooth val="0"/>
          <c:extLst>
            <c:ext xmlns:c16="http://schemas.microsoft.com/office/drawing/2014/chart" uri="{C3380CC4-5D6E-409C-BE32-E72D297353CC}">
              <c16:uniqueId val="{00000004-EA28-4A81-B01D-D4DD5A92369D}"/>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0.16456327387310041</c:v>
                </c:pt>
                <c:pt idx="7">
                  <c:v>0.32872834313032523</c:v>
                </c:pt>
                <c:pt idx="8">
                  <c:v>0.49250271087698655</c:v>
                </c:pt>
                <c:pt idx="9">
                  <c:v>0.65589365080807804</c:v>
                </c:pt>
                <c:pt idx="10">
                  <c:v>0.81890821685066562</c:v>
                </c:pt>
                <c:pt idx="11">
                  <c:v>1.002043054612892</c:v>
                </c:pt>
                <c:pt idx="12">
                  <c:v>1.1845065940347357</c:v>
                </c:pt>
                <c:pt idx="13">
                  <c:v>1.36631495748917</c:v>
                </c:pt>
                <c:pt idx="14">
                  <c:v>1.5474836410877764</c:v>
                </c:pt>
                <c:pt idx="15">
                  <c:v>1.7280275480153864</c:v>
                </c:pt>
                <c:pt idx="16">
                  <c:v>1.9343648044058861</c:v>
                </c:pt>
                <c:pt idx="17">
                  <c:v>2.139607391680896</c:v>
                </c:pt>
                <c:pt idx="18">
                  <c:v>2.343788120270736</c:v>
                </c:pt>
                <c:pt idx="19">
                  <c:v>2.5449067150434073</c:v>
                </c:pt>
                <c:pt idx="20">
                  <c:v>2.7450344315356867</c:v>
                </c:pt>
                <c:pt idx="21">
                  <c:v>2.9582446906841664</c:v>
                </c:pt>
                <c:pt idx="22">
                  <c:v>3.1702217488242495</c:v>
                </c:pt>
                <c:pt idx="23">
                  <c:v>3.3810041566516116</c:v>
                </c:pt>
                <c:pt idx="24">
                  <c:v>3.5906285246092073</c:v>
                </c:pt>
                <c:pt idx="25">
                  <c:v>3.7991296561106189</c:v>
                </c:pt>
                <c:pt idx="26">
                  <c:v>4.0205187531121922</c:v>
                </c:pt>
                <c:pt idx="27">
                  <c:v>4.2405436366918376</c:v>
                </c:pt>
                <c:pt idx="28">
                  <c:v>4.4592481398412245</c:v>
                </c:pt>
                <c:pt idx="29">
                  <c:v>5.5239917136714096</c:v>
                </c:pt>
                <c:pt idx="30">
                  <c:v>6.5704214047738745</c:v>
                </c:pt>
                <c:pt idx="31" formatCode="0.00">
                  <c:v>6.5704214047738745</c:v>
                </c:pt>
                <c:pt idx="32" formatCode="0.00">
                  <c:v>6.5704214047738745</c:v>
                </c:pt>
              </c:numCache>
            </c:numRef>
          </c:val>
          <c:smooth val="0"/>
          <c:extLst>
            <c:ext xmlns:c16="http://schemas.microsoft.com/office/drawing/2014/chart" uri="{C3380CC4-5D6E-409C-BE32-E72D297353CC}">
              <c16:uniqueId val="{00000005-EA28-4A81-B01D-D4DD5A92369D}"/>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EA28-4A81-B01D-D4DD5A92369D}"/>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EA28-4A81-B01D-D4DD5A92369D}"/>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0.21074883361483501</c:v>
                </c:pt>
                <c:pt idx="7">
                  <c:v>0.42098770436638538</c:v>
                </c:pt>
                <c:pt idx="8">
                  <c:v>0.63072622114645172</c:v>
                </c:pt>
                <c:pt idx="9">
                  <c:v>0.83997369905128816</c:v>
                </c:pt>
                <c:pt idx="10">
                  <c:v>1.0487391717301804</c:v>
                </c:pt>
                <c:pt idx="11">
                  <c:v>1.283271777604279</c:v>
                </c:pt>
                <c:pt idx="12">
                  <c:v>1.5169446816815342</c:v>
                </c:pt>
                <c:pt idx="13">
                  <c:v>1.7497785311648066</c:v>
                </c:pt>
                <c:pt idx="14">
                  <c:v>1.9817931712319699</c:v>
                </c:pt>
                <c:pt idx="15">
                  <c:v>2.2130076877260945</c:v>
                </c:pt>
                <c:pt idx="16">
                  <c:v>2.4772545946581714</c:v>
                </c:pt>
                <c:pt idx="17">
                  <c:v>2.740099607754193</c:v>
                </c:pt>
                <c:pt idx="18">
                  <c:v>3.0015847458665905</c:v>
                </c:pt>
                <c:pt idx="19">
                  <c:v>3.2591483459884492</c:v>
                </c:pt>
                <c:pt idx="20">
                  <c:v>3.5154429725603049</c:v>
                </c:pt>
                <c:pt idx="21">
                  <c:v>3.7884918270994326</c:v>
                </c:pt>
                <c:pt idx="22">
                  <c:v>4.0599613761956421</c:v>
                </c:pt>
                <c:pt idx="23">
                  <c:v>4.3299009900027787</c:v>
                </c:pt>
                <c:pt idx="24">
                  <c:v>4.5983575538797075</c:v>
                </c:pt>
                <c:pt idx="25">
                  <c:v>4.8653756390034903</c:v>
                </c:pt>
                <c:pt idx="26">
                  <c:v>5.1488987658227954</c:v>
                </c:pt>
                <c:pt idx="27">
                  <c:v>5.4306748054536502</c:v>
                </c:pt>
                <c:pt idx="28">
                  <c:v>5.7107598928504171</c:v>
                </c:pt>
                <c:pt idx="29">
                  <c:v>7.0743294245105544</c:v>
                </c:pt>
                <c:pt idx="30">
                  <c:v>8.4144451846639221</c:v>
                </c:pt>
                <c:pt idx="31" formatCode="0.00">
                  <c:v>8.4144451846639221</c:v>
                </c:pt>
                <c:pt idx="32" formatCode="0.00">
                  <c:v>8.4144451846639221</c:v>
                </c:pt>
              </c:numCache>
            </c:numRef>
          </c:val>
          <c:smooth val="0"/>
          <c:extLst>
            <c:ext xmlns:c16="http://schemas.microsoft.com/office/drawing/2014/chart" uri="{C3380CC4-5D6E-409C-BE32-E72D297353CC}">
              <c16:uniqueId val="{00000008-EA28-4A81-B01D-D4DD5A92369D}"/>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18.11311261142399</c:v>
                </c:pt>
                <c:pt idx="1">
                  <c:v>18.727136245807788</c:v>
                </c:pt>
                <c:pt idx="2">
                  <c:v>21.418483412524825</c:v>
                </c:pt>
                <c:pt idx="3">
                  <c:v>25.214412307944187</c:v>
                </c:pt>
                <c:pt idx="4">
                  <c:v>29.325475110464836</c:v>
                </c:pt>
                <c:pt idx="6">
                  <c:v>18.11311261142399</c:v>
                </c:pt>
                <c:pt idx="7">
                  <c:v>18.727136245807788</c:v>
                </c:pt>
                <c:pt idx="8">
                  <c:v>21.418483412524825</c:v>
                </c:pt>
                <c:pt idx="9">
                  <c:v>25.214412307944187</c:v>
                </c:pt>
                <c:pt idx="10">
                  <c:v>29.325475110464836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5.1877664193707353</c:v>
                </c:pt>
                <c:pt idx="1">
                  <c:v>5.3636285839523863</c:v>
                </c:pt>
                <c:pt idx="2">
                  <c:v>6.1344558157975246</c:v>
                </c:pt>
                <c:pt idx="3">
                  <c:v>7.2216456807551106</c:v>
                </c:pt>
                <c:pt idx="4">
                  <c:v>8.3990928712169879</c:v>
                </c:pt>
                <c:pt idx="6">
                  <c:v>5.1877664193707353</c:v>
                </c:pt>
                <c:pt idx="7">
                  <c:v>5.0954471547547673</c:v>
                </c:pt>
                <c:pt idx="8">
                  <c:v>5.5363463737572651</c:v>
                </c:pt>
                <c:pt idx="9">
                  <c:v>6.1916584655374116</c:v>
                </c:pt>
                <c:pt idx="10">
                  <c:v>6.8411136379366786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1.7293331420786413</c:v>
                </c:pt>
                <c:pt idx="1">
                  <c:v>1.7879564965367685</c:v>
                </c:pt>
                <c:pt idx="2">
                  <c:v>2.0449104476377946</c:v>
                </c:pt>
                <c:pt idx="3">
                  <c:v>2.4073233462183765</c:v>
                </c:pt>
                <c:pt idx="4">
                  <c:v>2.7998233712599996</c:v>
                </c:pt>
                <c:pt idx="6">
                  <c:v>1.7293331420786413</c:v>
                </c:pt>
                <c:pt idx="7">
                  <c:v>1.6985586717099299</c:v>
                </c:pt>
                <c:pt idx="8">
                  <c:v>1.8455316789931091</c:v>
                </c:pt>
                <c:pt idx="9">
                  <c:v>2.0639788539639801</c:v>
                </c:pt>
                <c:pt idx="10">
                  <c:v>2.2804736347873398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11.053496541558998</c:v>
                </c:pt>
                <c:pt idx="1">
                  <c:v>11.428203432897824</c:v>
                </c:pt>
                <c:pt idx="2">
                  <c:v>13.070593519992999</c:v>
                </c:pt>
                <c:pt idx="3">
                  <c:v>15.387052751359921</c:v>
                </c:pt>
                <c:pt idx="4">
                  <c:v>17.895821920118561</c:v>
                </c:pt>
                <c:pt idx="6">
                  <c:v>11.053496541558998</c:v>
                </c:pt>
                <c:pt idx="7">
                  <c:v>10.856793261252934</c:v>
                </c:pt>
                <c:pt idx="8">
                  <c:v>11.796210651793681</c:v>
                </c:pt>
                <c:pt idx="9">
                  <c:v>13.192474352697213</c:v>
                </c:pt>
                <c:pt idx="10">
                  <c:v>14.57625880282357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3.6154100938837042</c:v>
                </c:pt>
                <c:pt idx="1">
                  <c:v>3.7379703237712061</c:v>
                </c:pt>
                <c:pt idx="2">
                  <c:v>4.2751680943276114</c:v>
                </c:pt>
                <c:pt idx="3">
                  <c:v>5.0328423791718579</c:v>
                </c:pt>
                <c:pt idx="4">
                  <c:v>5.8534179628210605</c:v>
                </c:pt>
                <c:pt idx="6">
                  <c:v>3.6154100938837042</c:v>
                </c:pt>
                <c:pt idx="7">
                  <c:v>3.551071807582646</c:v>
                </c:pt>
                <c:pt idx="8">
                  <c:v>3.8583392051306693</c:v>
                </c:pt>
                <c:pt idx="9">
                  <c:v>4.3150332348424714</c:v>
                </c:pt>
                <c:pt idx="10">
                  <c:v>4.7676455145800212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2.1578408588438007</c:v>
                </c:pt>
                <c:pt idx="1">
                  <c:v>2.2309903674342495</c:v>
                </c:pt>
                <c:pt idx="2">
                  <c:v>2.5516143819955408</c:v>
                </c:pt>
                <c:pt idx="3">
                  <c:v>3.0038287884049404</c:v>
                </c:pt>
                <c:pt idx="4">
                  <c:v>3.4935855452285565</c:v>
                </c:pt>
                <c:pt idx="6">
                  <c:v>2.1578408588438007</c:v>
                </c:pt>
                <c:pt idx="7">
                  <c:v>2.1194408490625367</c:v>
                </c:pt>
                <c:pt idx="8">
                  <c:v>2.3028319797509753</c:v>
                </c:pt>
                <c:pt idx="9">
                  <c:v>2.5754077074586856</c:v>
                </c:pt>
                <c:pt idx="10">
                  <c:v>2.8455472614983166</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54.789351914500017</c:v>
                </c:pt>
                <c:pt idx="1">
                  <c:v>56.646678024583167</c:v>
                </c:pt>
                <c:pt idx="2">
                  <c:v>64.787585123474088</c:v>
                </c:pt>
                <c:pt idx="3">
                  <c:v>76.26968036327176</c:v>
                </c:pt>
                <c:pt idx="4">
                  <c:v>88.705006718381668</c:v>
                </c:pt>
                <c:pt idx="6">
                  <c:v>54.789351914500017</c:v>
                </c:pt>
                <c:pt idx="7">
                  <c:v>53.814344123354005</c:v>
                </c:pt>
                <c:pt idx="8">
                  <c:v>58.470795573935355</c:v>
                </c:pt>
                <c:pt idx="9">
                  <c:v>65.391717201460111</c:v>
                </c:pt>
                <c:pt idx="10">
                  <c:v>72.250782378413831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23.024453048237682</c:v>
                </c:pt>
                <c:pt idx="1">
                  <c:v>23.804968172483164</c:v>
                </c:pt>
                <c:pt idx="2">
                  <c:v>27.2260696587899</c:v>
                </c:pt>
                <c:pt idx="3">
                  <c:v>32.051258377150148</c:v>
                </c:pt>
                <c:pt idx="4">
                  <c:v>37.277029038747749</c:v>
                </c:pt>
                <c:pt idx="6">
                  <c:v>23.024453048237682</c:v>
                </c:pt>
                <c:pt idx="7">
                  <c:v>22.614719763859004</c:v>
                </c:pt>
                <c:pt idx="8">
                  <c:v>24.571527867057881</c:v>
                </c:pt>
                <c:pt idx="9">
                  <c:v>27.479947651109097</c:v>
                </c:pt>
                <c:pt idx="10">
                  <c:v>30.362373133491523</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1.0824037756368672</c:v>
                </c:pt>
                <c:pt idx="1">
                  <c:v>1.1190966132758335</c:v>
                </c:pt>
                <c:pt idx="2">
                  <c:v>1.2799261955402748</c:v>
                </c:pt>
                <c:pt idx="3">
                  <c:v>1.5067633966660277</c:v>
                </c:pt>
                <c:pt idx="4">
                  <c:v>1.7524323766359367</c:v>
                </c:pt>
                <c:pt idx="6">
                  <c:v>1.0824037756368672</c:v>
                </c:pt>
                <c:pt idx="7">
                  <c:v>1.0631417826120417</c:v>
                </c:pt>
                <c:pt idx="8">
                  <c:v>1.1551333914750981</c:v>
                </c:pt>
                <c:pt idx="9">
                  <c:v>1.2918612672165353</c:v>
                </c:pt>
                <c:pt idx="10">
                  <c:v>1.4273671234723244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0.92461962957245458</c:v>
                </c:pt>
                <c:pt idx="1">
                  <c:v>0.95596367946339411</c:v>
                </c:pt>
                <c:pt idx="2">
                  <c:v>1.0933488144054302</c:v>
                </c:pt>
                <c:pt idx="3">
                  <c:v>1.2871195066360073</c:v>
                </c:pt>
                <c:pt idx="4">
                  <c:v>1.4969768319428864</c:v>
                </c:pt>
                <c:pt idx="6">
                  <c:v>0.92461962957245458</c:v>
                </c:pt>
                <c:pt idx="7">
                  <c:v>0.90816549549022441</c:v>
                </c:pt>
                <c:pt idx="8">
                  <c:v>0.98674730500090058</c:v>
                </c:pt>
                <c:pt idx="9">
                  <c:v>1.1035440870020468</c:v>
                </c:pt>
                <c:pt idx="10">
                  <c:v>1.2192969857226803</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23.232113430796417</c:v>
                </c:pt>
                <c:pt idx="1">
                  <c:v>24.019668117239277</c:v>
                </c:pt>
                <c:pt idx="2">
                  <c:v>27.471624939910804</c:v>
                </c:pt>
                <c:pt idx="3">
                  <c:v>32.340332630603356</c:v>
                </c:pt>
                <c:pt idx="4">
                  <c:v>37.613235162498945</c:v>
                </c:pt>
                <c:pt idx="6">
                  <c:v>23.232113430796417</c:v>
                </c:pt>
                <c:pt idx="7">
                  <c:v>29.105259472761574</c:v>
                </c:pt>
                <c:pt idx="8">
                  <c:v>38.813723522936776</c:v>
                </c:pt>
                <c:pt idx="9">
                  <c:v>51.872237183732253</c:v>
                </c:pt>
                <c:pt idx="10">
                  <c:v>67.157584092845767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26.505729414226828</c:v>
                </c:pt>
                <c:pt idx="1">
                  <c:v>27.404257715577543</c:v>
                </c:pt>
                <c:pt idx="2">
                  <c:v>31.342626635989149</c:v>
                </c:pt>
                <c:pt idx="3">
                  <c:v>36.897379501279289</c:v>
                </c:pt>
                <c:pt idx="4">
                  <c:v>42.913281935396533</c:v>
                </c:pt>
                <c:pt idx="6">
                  <c:v>26.505729414226828</c:v>
                </c:pt>
                <c:pt idx="7">
                  <c:v>27.672439144775161</c:v>
                </c:pt>
                <c:pt idx="8">
                  <c:v>31.940736078029403</c:v>
                </c:pt>
                <c:pt idx="9">
                  <c:v>37.927366716496991</c:v>
                </c:pt>
                <c:pt idx="10">
                  <c:v>44.47126116867684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82.076415832295638</c:v>
                </c:pt>
                <c:pt idx="2">
                  <c:v>92.580858620368858</c:v>
                </c:pt>
                <c:pt idx="3">
                  <c:v>109.01460140796371</c:v>
                </c:pt>
                <c:pt idx="4">
                  <c:v>124.4670927917697</c:v>
                </c:pt>
                <c:pt idx="6">
                  <c:v>82</c:v>
                </c:pt>
                <c:pt idx="7">
                  <c:v>82.076415832295638</c:v>
                </c:pt>
                <c:pt idx="8">
                  <c:v>92.580858620368858</c:v>
                </c:pt>
                <c:pt idx="9">
                  <c:v>109.01460140796371</c:v>
                </c:pt>
                <c:pt idx="10">
                  <c:v>124.4670927917697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(FTRA!$AA$76:$AF$76,FTRA!$AG$76:$AK$76)</c:f>
              <c:numCache>
                <c:formatCode>0.00</c:formatCode>
                <c:ptCount val="11"/>
                <c:pt idx="0">
                  <c:v>98.376909004312168</c:v>
                </c:pt>
                <c:pt idx="1">
                  <c:v>101.71182711044561</c:v>
                </c:pt>
                <c:pt idx="2">
                  <c:v>116.32921623616363</c:v>
                </c:pt>
                <c:pt idx="3">
                  <c:v>136.94586890887902</c:v>
                </c:pt>
                <c:pt idx="4">
                  <c:v>159.2740937651364</c:v>
                </c:pt>
                <c:pt idx="6">
                  <c:v>98.376909004312168</c:v>
                </c:pt>
                <c:pt idx="7">
                  <c:v>96.626235754923314</c:v>
                </c:pt>
                <c:pt idx="8">
                  <c:v>104.98711765313767</c:v>
                </c:pt>
                <c:pt idx="9">
                  <c:v>117.41396435575014</c:v>
                </c:pt>
                <c:pt idx="10">
                  <c:v>129.72974483478961</c:v>
                </c:pt>
              </c:numCache>
            </c:numRef>
          </c:val>
          <c:extLst>
            <c:ext xmlns:c16="http://schemas.microsoft.com/office/drawing/2014/chart" uri="{C3380CC4-5D6E-409C-BE32-E72D297353CC}">
              <c16:uniqueId val="{00000000-CB39-4B29-8840-1732B392D50F}"/>
            </c:ext>
          </c:extLst>
        </c:ser>
        <c:ser>
          <c:idx val="1"/>
          <c:order val="1"/>
          <c:tx>
            <c:strRef>
              <c:f>FTRA!$Z$77</c:f>
              <c:strCache>
                <c:ptCount val="1"/>
                <c:pt idx="0">
                  <c:v>Rail</c:v>
                </c:pt>
              </c:strCache>
            </c:strRef>
          </c:tx>
          <c:spPr>
            <a:solidFill>
              <a:schemeClr val="dk1">
                <a:tint val="55000"/>
              </a:schemeClr>
            </a:solidFill>
            <a:ln>
              <a:noFill/>
            </a:ln>
            <a:effectLst/>
          </c:spPr>
          <c:invertIfNegative val="0"/>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(FTRA!$AA$77:$AF$77,FTRA!$AG$77:$AK$77)</c:f>
              <c:numCache>
                <c:formatCode>0.00</c:formatCode>
                <c:ptCount val="11"/>
                <c:pt idx="0">
                  <c:v>23.232113430796417</c:v>
                </c:pt>
                <c:pt idx="1">
                  <c:v>24.019668117239277</c:v>
                </c:pt>
                <c:pt idx="2">
                  <c:v>27.471624939910804</c:v>
                </c:pt>
                <c:pt idx="3">
                  <c:v>32.340332630603356</c:v>
                </c:pt>
                <c:pt idx="4">
                  <c:v>37.613235162498945</c:v>
                </c:pt>
                <c:pt idx="6">
                  <c:v>23.232113430796417</c:v>
                </c:pt>
                <c:pt idx="7">
                  <c:v>29.105259472761574</c:v>
                </c:pt>
                <c:pt idx="8">
                  <c:v>38.813723522936776</c:v>
                </c:pt>
                <c:pt idx="9">
                  <c:v>51.872237183732253</c:v>
                </c:pt>
                <c:pt idx="10">
                  <c:v>67.157584092845767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FTRA!$Z$78</c:f>
              <c:strCache>
                <c:ptCount val="1"/>
                <c:pt idx="0">
                  <c:v>btkm</c:v>
                </c:pt>
              </c:strCache>
            </c:strRef>
          </c:tx>
          <c:spPr>
            <a:ln w="28575" cap="rnd">
              <a:solidFill>
                <a:schemeClr val="tx1"/>
              </a:solidFill>
              <a:round/>
            </a:ln>
            <a:effectLst/>
          </c:spPr>
          <c:marker>
            <c:symbol val="none"/>
          </c:marker>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(FTRA!$AA$78:$AF$78,FTRA!$AG$78:$AK$78)</c:f>
              <c:numCache>
                <c:formatCode>0.00</c:formatCode>
                <c:ptCount val="11"/>
                <c:pt idx="0">
                  <c:v>121.60902243510859</c:v>
                </c:pt>
                <c:pt idx="1">
                  <c:v>125.73149522768489</c:v>
                </c:pt>
                <c:pt idx="2">
                  <c:v>143.80084117607444</c:v>
                </c:pt>
                <c:pt idx="3">
                  <c:v>169.28620153948236</c:v>
                </c:pt>
                <c:pt idx="4">
                  <c:v>196.88732892763534</c:v>
                </c:pt>
                <c:pt idx="6">
                  <c:v>121.60902243510859</c:v>
                </c:pt>
                <c:pt idx="7">
                  <c:v>125.73149522768489</c:v>
                </c:pt>
                <c:pt idx="8">
                  <c:v>143.80084117607444</c:v>
                </c:pt>
                <c:pt idx="9">
                  <c:v>169.28620153948239</c:v>
                </c:pt>
                <c:pt idx="10">
                  <c:v>196.88732892763539</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45.814231748432107</c:v>
                </c:pt>
                <c:pt idx="7">
                  <c:v>46.285642331242812</c:v>
                </c:pt>
                <c:pt idx="8">
                  <c:v>45.342821165621402</c:v>
                </c:pt>
                <c:pt idx="9">
                  <c:v>45.918669137564208</c:v>
                </c:pt>
                <c:pt idx="10">
                  <c:v>46.494517109507015</c:v>
                </c:pt>
                <c:pt idx="11">
                  <c:v>47.070365081449822</c:v>
                </c:pt>
                <c:pt idx="12">
                  <c:v>47.646213053392628</c:v>
                </c:pt>
                <c:pt idx="13">
                  <c:v>48.222061025335435</c:v>
                </c:pt>
                <c:pt idx="14">
                  <c:v>48.797908997278242</c:v>
                </c:pt>
                <c:pt idx="15">
                  <c:v>49.373756969221049</c:v>
                </c:pt>
                <c:pt idx="16">
                  <c:v>49.949604941163855</c:v>
                </c:pt>
                <c:pt idx="17">
                  <c:v>50.525452913106662</c:v>
                </c:pt>
                <c:pt idx="18">
                  <c:v>47.070365081449829</c:v>
                </c:pt>
                <c:pt idx="19">
                  <c:v>47.746830997196319</c:v>
                </c:pt>
                <c:pt idx="20">
                  <c:v>48.42329691294281</c:v>
                </c:pt>
                <c:pt idx="21">
                  <c:v>49.0997628286893</c:v>
                </c:pt>
                <c:pt idx="22">
                  <c:v>49.776228744435791</c:v>
                </c:pt>
                <c:pt idx="23">
                  <c:v>50.452694660182281</c:v>
                </c:pt>
                <c:pt idx="24">
                  <c:v>51.129160575928772</c:v>
                </c:pt>
                <c:pt idx="25">
                  <c:v>51.805626491675262</c:v>
                </c:pt>
                <c:pt idx="26">
                  <c:v>52.482092407421753</c:v>
                </c:pt>
                <c:pt idx="27">
                  <c:v>53.158558323168243</c:v>
                </c:pt>
                <c:pt idx="28">
                  <c:v>53.835024238914734</c:v>
                </c:pt>
                <c:pt idx="29">
                  <c:v>58.605528297446682</c:v>
                </c:pt>
                <c:pt idx="30">
                  <c:v>63.376032355978644</c:v>
                </c:pt>
                <c:pt idx="31">
                  <c:v>63.376032355978644</c:v>
                </c:pt>
                <c:pt idx="32">
                  <c:v>63.376032355978644</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3.4750000000000005</c:v>
                </c:pt>
                <c:pt idx="7">
                  <c:v>3.5000000000000009</c:v>
                </c:pt>
                <c:pt idx="8">
                  <c:v>3.45</c:v>
                </c:pt>
                <c:pt idx="9">
                  <c:v>3.5046227495160913</c:v>
                </c:pt>
                <c:pt idx="10">
                  <c:v>3.5592454990321825</c:v>
                </c:pt>
                <c:pt idx="11">
                  <c:v>3.6138682485482736</c:v>
                </c:pt>
                <c:pt idx="12">
                  <c:v>3.6684909980643647</c:v>
                </c:pt>
                <c:pt idx="13">
                  <c:v>3.7231137475804559</c:v>
                </c:pt>
                <c:pt idx="14">
                  <c:v>3.777736497096547</c:v>
                </c:pt>
                <c:pt idx="15">
                  <c:v>3.8323592466126382</c:v>
                </c:pt>
                <c:pt idx="16">
                  <c:v>3.8869819961287293</c:v>
                </c:pt>
                <c:pt idx="17">
                  <c:v>3.9416047456448204</c:v>
                </c:pt>
                <c:pt idx="18">
                  <c:v>3.6138682485482732</c:v>
                </c:pt>
                <c:pt idx="19">
                  <c:v>3.6658045080166493</c:v>
                </c:pt>
                <c:pt idx="20">
                  <c:v>3.7177407674850254</c:v>
                </c:pt>
                <c:pt idx="21">
                  <c:v>3.7696770269534015</c:v>
                </c:pt>
                <c:pt idx="22">
                  <c:v>3.8216132864217776</c:v>
                </c:pt>
                <c:pt idx="23">
                  <c:v>3.8735495458901537</c:v>
                </c:pt>
                <c:pt idx="24">
                  <c:v>3.9254858053585298</c:v>
                </c:pt>
                <c:pt idx="25">
                  <c:v>3.9774220648269059</c:v>
                </c:pt>
                <c:pt idx="26">
                  <c:v>4.0293583242952824</c:v>
                </c:pt>
                <c:pt idx="27">
                  <c:v>4.0812945837636585</c:v>
                </c:pt>
                <c:pt idx="28">
                  <c:v>4.1332308432320355</c:v>
                </c:pt>
                <c:pt idx="29">
                  <c:v>4.4994904445091333</c:v>
                </c:pt>
                <c:pt idx="30">
                  <c:v>4.8657500457862337</c:v>
                </c:pt>
                <c:pt idx="31">
                  <c:v>4.8657500457862337</c:v>
                </c:pt>
                <c:pt idx="32">
                  <c:v>4.8657500457862337</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0.75195193926813364</c:v>
                </c:pt>
                <c:pt idx="7">
                  <c:v>0.76789444028974219</c:v>
                </c:pt>
                <c:pt idx="8">
                  <c:v>0.73600943824652509</c:v>
                </c:pt>
                <c:pt idx="9">
                  <c:v>0.72897134163823174</c:v>
                </c:pt>
                <c:pt idx="10">
                  <c:v>0.72193324502993839</c:v>
                </c:pt>
                <c:pt idx="11">
                  <c:v>0.71489514842164503</c:v>
                </c:pt>
                <c:pt idx="12">
                  <c:v>0.70785705181335168</c:v>
                </c:pt>
                <c:pt idx="13">
                  <c:v>0.70081895520505832</c:v>
                </c:pt>
                <c:pt idx="14">
                  <c:v>0.69378085859676497</c:v>
                </c:pt>
                <c:pt idx="15">
                  <c:v>0.68674276198847162</c:v>
                </c:pt>
                <c:pt idx="16">
                  <c:v>0.67970466538017826</c:v>
                </c:pt>
                <c:pt idx="17">
                  <c:v>0.67266656877188491</c:v>
                </c:pt>
                <c:pt idx="18">
                  <c:v>0.71489514842164503</c:v>
                </c:pt>
                <c:pt idx="19">
                  <c:v>0.725169175410876</c:v>
                </c:pt>
                <c:pt idx="20">
                  <c:v>0.73544320240010697</c:v>
                </c:pt>
                <c:pt idx="21">
                  <c:v>0.74571722938933793</c:v>
                </c:pt>
                <c:pt idx="22">
                  <c:v>0.7559912563785689</c:v>
                </c:pt>
                <c:pt idx="23">
                  <c:v>0.76626528336779987</c:v>
                </c:pt>
                <c:pt idx="24">
                  <c:v>0.77653931035703083</c:v>
                </c:pt>
                <c:pt idx="25">
                  <c:v>0.7868133373462618</c:v>
                </c:pt>
                <c:pt idx="26">
                  <c:v>0.79708736433549277</c:v>
                </c:pt>
                <c:pt idx="27">
                  <c:v>0.80736139132472373</c:v>
                </c:pt>
                <c:pt idx="28">
                  <c:v>0.81763541831395481</c:v>
                </c:pt>
                <c:pt idx="29">
                  <c:v>0.89008886542593124</c:v>
                </c:pt>
                <c:pt idx="30">
                  <c:v>0.96254231253790812</c:v>
                </c:pt>
                <c:pt idx="31">
                  <c:v>0.96254231253790812</c:v>
                </c:pt>
                <c:pt idx="32">
                  <c:v>0.96254231253790812</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3.0958953881287248</c:v>
                </c:pt>
                <c:pt idx="7">
                  <c:v>3.1611938508382997</c:v>
                </c:pt>
                <c:pt idx="8">
                  <c:v>3.0305969254191498</c:v>
                </c:pt>
                <c:pt idx="9">
                  <c:v>3.0071718988497271</c:v>
                </c:pt>
                <c:pt idx="10">
                  <c:v>2.9837468722803044</c:v>
                </c:pt>
                <c:pt idx="11">
                  <c:v>2.9603218457108817</c:v>
                </c:pt>
                <c:pt idx="12">
                  <c:v>2.9368968191414591</c:v>
                </c:pt>
                <c:pt idx="13">
                  <c:v>2.9134717925720364</c:v>
                </c:pt>
                <c:pt idx="14">
                  <c:v>2.8900467660026137</c:v>
                </c:pt>
                <c:pt idx="15">
                  <c:v>2.866621739433191</c:v>
                </c:pt>
                <c:pt idx="16">
                  <c:v>2.8431967128637683</c:v>
                </c:pt>
                <c:pt idx="17">
                  <c:v>2.8197716862943456</c:v>
                </c:pt>
                <c:pt idx="18">
                  <c:v>2.9603218457108817</c:v>
                </c:pt>
                <c:pt idx="19">
                  <c:v>3.0028657440808639</c:v>
                </c:pt>
                <c:pt idx="20">
                  <c:v>3.0454096424508461</c:v>
                </c:pt>
                <c:pt idx="21">
                  <c:v>3.0879535408208283</c:v>
                </c:pt>
                <c:pt idx="22">
                  <c:v>3.1304974391908105</c:v>
                </c:pt>
                <c:pt idx="23">
                  <c:v>3.1730413375607927</c:v>
                </c:pt>
                <c:pt idx="24">
                  <c:v>3.2155852359307748</c:v>
                </c:pt>
                <c:pt idx="25">
                  <c:v>3.258129134300757</c:v>
                </c:pt>
                <c:pt idx="26">
                  <c:v>3.3006730326707392</c:v>
                </c:pt>
                <c:pt idx="27">
                  <c:v>3.3432169310407214</c:v>
                </c:pt>
                <c:pt idx="28">
                  <c:v>3.3857608294107018</c:v>
                </c:pt>
                <c:pt idx="29">
                  <c:v>3.6857845780068228</c:v>
                </c:pt>
                <c:pt idx="30">
                  <c:v>3.9858083266029447</c:v>
                </c:pt>
                <c:pt idx="31">
                  <c:v>3.9858083266029447</c:v>
                </c:pt>
                <c:pt idx="32">
                  <c:v>3.9858083266029447</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0.5474446211211984</c:v>
                </c:pt>
                <c:pt idx="7">
                  <c:v>0.55108224224239677</c:v>
                </c:pt>
                <c:pt idx="8">
                  <c:v>0.54380700000000004</c:v>
                </c:pt>
                <c:pt idx="9">
                  <c:v>0.57006783146719719</c:v>
                </c:pt>
                <c:pt idx="10">
                  <c:v>0.59632866293439435</c:v>
                </c:pt>
                <c:pt idx="11">
                  <c:v>0.6225894944015915</c:v>
                </c:pt>
                <c:pt idx="12">
                  <c:v>0.64885032586878866</c:v>
                </c:pt>
                <c:pt idx="13">
                  <c:v>0.67511115733598581</c:v>
                </c:pt>
                <c:pt idx="14">
                  <c:v>0.70137198880318297</c:v>
                </c:pt>
                <c:pt idx="15">
                  <c:v>0.72763282027038012</c:v>
                </c:pt>
                <c:pt idx="16">
                  <c:v>0.75389365173757728</c:v>
                </c:pt>
                <c:pt idx="17">
                  <c:v>0.78015448320477443</c:v>
                </c:pt>
                <c:pt idx="18">
                  <c:v>0.6225894944015915</c:v>
                </c:pt>
                <c:pt idx="19">
                  <c:v>0.63153696212859445</c:v>
                </c:pt>
                <c:pt idx="20">
                  <c:v>0.64048442985559739</c:v>
                </c:pt>
                <c:pt idx="21">
                  <c:v>0.64943189758260034</c:v>
                </c:pt>
                <c:pt idx="22">
                  <c:v>0.65837936530960328</c:v>
                </c:pt>
                <c:pt idx="23">
                  <c:v>0.66732683303660623</c:v>
                </c:pt>
                <c:pt idx="24">
                  <c:v>0.67627430076360917</c:v>
                </c:pt>
                <c:pt idx="25">
                  <c:v>0.68522176849061212</c:v>
                </c:pt>
                <c:pt idx="26">
                  <c:v>0.69416923621761506</c:v>
                </c:pt>
                <c:pt idx="27">
                  <c:v>0.703116703944618</c:v>
                </c:pt>
                <c:pt idx="28">
                  <c:v>0.7120641716716205</c:v>
                </c:pt>
                <c:pt idx="29">
                  <c:v>0.77516259261445364</c:v>
                </c:pt>
                <c:pt idx="30">
                  <c:v>0.83826101355728655</c:v>
                </c:pt>
                <c:pt idx="31">
                  <c:v>0.83826101355728655</c:v>
                </c:pt>
                <c:pt idx="32">
                  <c:v>0.83826101355728655</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0.29149427750000001</c:v>
                </c:pt>
                <c:pt idx="7">
                  <c:v>0.29343117800000001</c:v>
                </c:pt>
                <c:pt idx="8">
                  <c:v>0.289557377</c:v>
                </c:pt>
                <c:pt idx="9">
                  <c:v>0.29248878274193923</c:v>
                </c:pt>
                <c:pt idx="10">
                  <c:v>0.29542018848387847</c:v>
                </c:pt>
                <c:pt idx="11">
                  <c:v>0.2983515942258177</c:v>
                </c:pt>
                <c:pt idx="12">
                  <c:v>0.30128299996775693</c:v>
                </c:pt>
                <c:pt idx="13">
                  <c:v>0.30421440570969616</c:v>
                </c:pt>
                <c:pt idx="14">
                  <c:v>0.30714581145163539</c:v>
                </c:pt>
                <c:pt idx="15">
                  <c:v>0.31007721719357462</c:v>
                </c:pt>
                <c:pt idx="16">
                  <c:v>0.31300862293551385</c:v>
                </c:pt>
                <c:pt idx="17">
                  <c:v>0.31594002867745308</c:v>
                </c:pt>
                <c:pt idx="18">
                  <c:v>0.29835159422581775</c:v>
                </c:pt>
                <c:pt idx="19">
                  <c:v>0.30263931717109677</c:v>
                </c:pt>
                <c:pt idx="20">
                  <c:v>0.30692704011637578</c:v>
                </c:pt>
                <c:pt idx="21">
                  <c:v>0.3112147630616548</c:v>
                </c:pt>
                <c:pt idx="22">
                  <c:v>0.31550248600693381</c:v>
                </c:pt>
                <c:pt idx="23">
                  <c:v>0.31979020895221283</c:v>
                </c:pt>
                <c:pt idx="24">
                  <c:v>0.32407793189749184</c:v>
                </c:pt>
                <c:pt idx="25">
                  <c:v>0.32836565484277086</c:v>
                </c:pt>
                <c:pt idx="26">
                  <c:v>0.33265337778804988</c:v>
                </c:pt>
                <c:pt idx="27">
                  <c:v>0.33694110073332889</c:v>
                </c:pt>
                <c:pt idx="28">
                  <c:v>0.34122882367860796</c:v>
                </c:pt>
                <c:pt idx="29">
                  <c:v>0.37146626689072043</c:v>
                </c:pt>
                <c:pt idx="30">
                  <c:v>0.40170371010283296</c:v>
                </c:pt>
                <c:pt idx="31">
                  <c:v>0.40170371010283296</c:v>
                </c:pt>
                <c:pt idx="32">
                  <c:v>0.40170371010283296</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6.6407838452289187</c:v>
                </c:pt>
                <c:pt idx="6">
                  <c:v>6.9561757678433782</c:v>
                </c:pt>
                <c:pt idx="7">
                  <c:v>7.2715676904578377</c:v>
                </c:pt>
                <c:pt idx="8">
                  <c:v>6.6407838452289196</c:v>
                </c:pt>
                <c:pt idx="9">
                  <c:v>6.2600127394663838</c:v>
                </c:pt>
                <c:pt idx="10">
                  <c:v>5.879241633703848</c:v>
                </c:pt>
                <c:pt idx="11">
                  <c:v>5.4984705279413122</c:v>
                </c:pt>
                <c:pt idx="12">
                  <c:v>5.1176994221787764</c:v>
                </c:pt>
                <c:pt idx="13">
                  <c:v>4.7369283164162406</c:v>
                </c:pt>
                <c:pt idx="14">
                  <c:v>4.3561572106537048</c:v>
                </c:pt>
                <c:pt idx="15">
                  <c:v>3.9753861048911685</c:v>
                </c:pt>
                <c:pt idx="16">
                  <c:v>3.5946149991286322</c:v>
                </c:pt>
                <c:pt idx="17">
                  <c:v>3.213843893366096</c:v>
                </c:pt>
                <c:pt idx="18">
                  <c:v>5.4984705279413113</c:v>
                </c:pt>
                <c:pt idx="19">
                  <c:v>5.5774911154054765</c:v>
                </c:pt>
                <c:pt idx="20">
                  <c:v>5.6565117028696417</c:v>
                </c:pt>
                <c:pt idx="21">
                  <c:v>5.7355322903338068</c:v>
                </c:pt>
                <c:pt idx="22">
                  <c:v>5.814552877797972</c:v>
                </c:pt>
                <c:pt idx="23">
                  <c:v>5.8935734652621372</c:v>
                </c:pt>
                <c:pt idx="24">
                  <c:v>5.9725940527263024</c:v>
                </c:pt>
                <c:pt idx="25">
                  <c:v>6.0516146401904676</c:v>
                </c:pt>
                <c:pt idx="26">
                  <c:v>6.1306352276546328</c:v>
                </c:pt>
                <c:pt idx="27">
                  <c:v>6.2096558151187979</c:v>
                </c:pt>
                <c:pt idx="28">
                  <c:v>6.2886764025829658</c:v>
                </c:pt>
                <c:pt idx="29">
                  <c:v>6.8459373442364582</c:v>
                </c:pt>
                <c:pt idx="30">
                  <c:v>7.4031982858899488</c:v>
                </c:pt>
                <c:pt idx="31">
                  <c:v>7.4031982858899488</c:v>
                </c:pt>
                <c:pt idx="32">
                  <c:v>7.4031982858899488</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1.82</c:v>
                </c:pt>
                <c:pt idx="7">
                  <c:v>1.86</c:v>
                </c:pt>
                <c:pt idx="8">
                  <c:v>1.78</c:v>
                </c:pt>
                <c:pt idx="9">
                  <c:v>1.7563356285395482</c:v>
                </c:pt>
                <c:pt idx="10">
                  <c:v>1.7326712570790963</c:v>
                </c:pt>
                <c:pt idx="11">
                  <c:v>1.7090068856186444</c:v>
                </c:pt>
                <c:pt idx="12">
                  <c:v>1.6853425141581926</c:v>
                </c:pt>
                <c:pt idx="13">
                  <c:v>1.6616781426977407</c:v>
                </c:pt>
                <c:pt idx="14">
                  <c:v>1.6380137712372889</c:v>
                </c:pt>
                <c:pt idx="15">
                  <c:v>1.614349399776837</c:v>
                </c:pt>
                <c:pt idx="16">
                  <c:v>1.5906850283163851</c:v>
                </c:pt>
                <c:pt idx="17">
                  <c:v>1.5670206568559333</c:v>
                </c:pt>
                <c:pt idx="18">
                  <c:v>1.7090068856186442</c:v>
                </c:pt>
                <c:pt idx="19">
                  <c:v>1.7335676661840085</c:v>
                </c:pt>
                <c:pt idx="20">
                  <c:v>1.7581284467493727</c:v>
                </c:pt>
                <c:pt idx="21">
                  <c:v>1.782689227314737</c:v>
                </c:pt>
                <c:pt idx="22">
                  <c:v>1.8072500078801013</c:v>
                </c:pt>
                <c:pt idx="23">
                  <c:v>1.8318107884454655</c:v>
                </c:pt>
                <c:pt idx="24">
                  <c:v>1.8563715690108298</c:v>
                </c:pt>
                <c:pt idx="25">
                  <c:v>1.880932349576194</c:v>
                </c:pt>
                <c:pt idx="26">
                  <c:v>1.9054931301415583</c:v>
                </c:pt>
                <c:pt idx="27">
                  <c:v>1.9300539107069226</c:v>
                </c:pt>
                <c:pt idx="28">
                  <c:v>1.9546146912722866</c:v>
                </c:pt>
                <c:pt idx="29">
                  <c:v>2.1278197273877977</c:v>
                </c:pt>
                <c:pt idx="30">
                  <c:v>2.3010247635033085</c:v>
                </c:pt>
                <c:pt idx="31">
                  <c:v>2.3010247635033085</c:v>
                </c:pt>
                <c:pt idx="32">
                  <c:v>2.3010247635033085</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0.10204618345129599</c:v>
                </c:pt>
                <c:pt idx="6">
                  <c:v>0.11312230387403258</c:v>
                </c:pt>
                <c:pt idx="7">
                  <c:v>0.12419842429676917</c:v>
                </c:pt>
                <c:pt idx="8">
                  <c:v>0.102046183451296</c:v>
                </c:pt>
                <c:pt idx="9">
                  <c:v>8.9315911372357781E-2</c:v>
                </c:pt>
                <c:pt idx="10">
                  <c:v>7.6585639293419563E-2</c:v>
                </c:pt>
                <c:pt idx="11">
                  <c:v>6.3855367214481346E-2</c:v>
                </c:pt>
                <c:pt idx="12">
                  <c:v>5.1125095135543135E-2</c:v>
                </c:pt>
                <c:pt idx="13">
                  <c:v>3.8394823056604924E-2</c:v>
                </c:pt>
                <c:pt idx="14">
                  <c:v>2.5664550977666713E-2</c:v>
                </c:pt>
                <c:pt idx="15">
                  <c:v>1.29342788987285E-2</c:v>
                </c:pt>
                <c:pt idx="16">
                  <c:v>2.0400681979028737E-4</c:v>
                </c:pt>
                <c:pt idx="17">
                  <c:v>-1.2526265259147925E-2</c:v>
                </c:pt>
                <c:pt idx="18">
                  <c:v>6.3855367214481359E-2</c:v>
                </c:pt>
                <c:pt idx="19">
                  <c:v>6.4773056707293386E-2</c:v>
                </c:pt>
                <c:pt idx="20">
                  <c:v>6.5690746200105413E-2</c:v>
                </c:pt>
                <c:pt idx="21">
                  <c:v>6.6608435692917439E-2</c:v>
                </c:pt>
                <c:pt idx="22">
                  <c:v>6.7526125185729466E-2</c:v>
                </c:pt>
                <c:pt idx="23">
                  <c:v>6.8443814678541492E-2</c:v>
                </c:pt>
                <c:pt idx="24">
                  <c:v>6.9361504171353519E-2</c:v>
                </c:pt>
                <c:pt idx="25">
                  <c:v>7.0279193664165546E-2</c:v>
                </c:pt>
                <c:pt idx="26">
                  <c:v>7.1196883156977572E-2</c:v>
                </c:pt>
                <c:pt idx="27">
                  <c:v>7.2114572649789599E-2</c:v>
                </c:pt>
                <c:pt idx="28">
                  <c:v>7.3032262142601598E-2</c:v>
                </c:pt>
                <c:pt idx="29">
                  <c:v>7.9503898551807672E-2</c:v>
                </c:pt>
                <c:pt idx="30">
                  <c:v>8.5975534961013692E-2</c:v>
                </c:pt>
                <c:pt idx="31">
                  <c:v>8.5975534961013692E-2</c:v>
                </c:pt>
                <c:pt idx="32">
                  <c:v>8.5975534961013692E-2</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2.2822034011220193E-2</c:v>
                </c:pt>
                <c:pt idx="7">
                  <c:v>2.2973068022440389E-2</c:v>
                </c:pt>
                <c:pt idx="8">
                  <c:v>2.2670999999999997E-2</c:v>
                </c:pt>
                <c:pt idx="9">
                  <c:v>2.9660228380617045E-2</c:v>
                </c:pt>
                <c:pt idx="10">
                  <c:v>3.6649456761234094E-2</c:v>
                </c:pt>
                <c:pt idx="11">
                  <c:v>4.3638685141851138E-2</c:v>
                </c:pt>
                <c:pt idx="12">
                  <c:v>5.0627913522468183E-2</c:v>
                </c:pt>
                <c:pt idx="13">
                  <c:v>5.7617141903085228E-2</c:v>
                </c:pt>
                <c:pt idx="14">
                  <c:v>6.460637028370228E-2</c:v>
                </c:pt>
                <c:pt idx="15">
                  <c:v>7.1595598664319332E-2</c:v>
                </c:pt>
                <c:pt idx="16">
                  <c:v>7.8584827044936384E-2</c:v>
                </c:pt>
                <c:pt idx="17">
                  <c:v>8.5574055425553436E-2</c:v>
                </c:pt>
                <c:pt idx="18">
                  <c:v>4.3638685141851138E-2</c:v>
                </c:pt>
                <c:pt idx="19">
                  <c:v>4.4265833094822696E-2</c:v>
                </c:pt>
                <c:pt idx="20">
                  <c:v>4.4892981047794253E-2</c:v>
                </c:pt>
                <c:pt idx="21">
                  <c:v>4.552012900076581E-2</c:v>
                </c:pt>
                <c:pt idx="22">
                  <c:v>4.6147276953737368E-2</c:v>
                </c:pt>
                <c:pt idx="23">
                  <c:v>4.6774424906708925E-2</c:v>
                </c:pt>
                <c:pt idx="24">
                  <c:v>4.7401572859680483E-2</c:v>
                </c:pt>
                <c:pt idx="25">
                  <c:v>4.802872081265204E-2</c:v>
                </c:pt>
                <c:pt idx="26">
                  <c:v>4.8655868765623597E-2</c:v>
                </c:pt>
                <c:pt idx="27">
                  <c:v>4.9283016718595155E-2</c:v>
                </c:pt>
                <c:pt idx="28">
                  <c:v>4.9910164671566698E-2</c:v>
                </c:pt>
                <c:pt idx="29">
                  <c:v>5.4332873614188461E-2</c:v>
                </c:pt>
                <c:pt idx="30">
                  <c:v>5.8755582556810203E-2</c:v>
                </c:pt>
                <c:pt idx="31">
                  <c:v>5.8755582556810203E-2</c:v>
                </c:pt>
                <c:pt idx="32">
                  <c:v>5.8755582556810203E-2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22.410704476932139</c:v>
                </c:pt>
                <c:pt idx="2">
                  <c:v>22.821408953864278</c:v>
                </c:pt>
                <c:pt idx="3">
                  <c:v>23.232113430796417</c:v>
                </c:pt>
                <c:pt idx="4">
                  <c:v>23.390018838037079</c:v>
                </c:pt>
                <c:pt idx="5">
                  <c:v>23.547924245277741</c:v>
                </c:pt>
                <c:pt idx="6">
                  <c:v>23.705829652518403</c:v>
                </c:pt>
                <c:pt idx="7">
                  <c:v>23.863735059759065</c:v>
                </c:pt>
                <c:pt idx="8">
                  <c:v>23.547924245277745</c:v>
                </c:pt>
                <c:pt idx="9">
                  <c:v>23.705172202598256</c:v>
                </c:pt>
                <c:pt idx="10">
                  <c:v>23.862420159918766</c:v>
                </c:pt>
                <c:pt idx="11">
                  <c:v>24.019668117239277</c:v>
                </c:pt>
                <c:pt idx="12">
                  <c:v>24.176916074559788</c:v>
                </c:pt>
                <c:pt idx="13">
                  <c:v>24.334164031880299</c:v>
                </c:pt>
                <c:pt idx="14">
                  <c:v>24.49141198920081</c:v>
                </c:pt>
                <c:pt idx="15">
                  <c:v>24.64865994652132</c:v>
                </c:pt>
                <c:pt idx="16">
                  <c:v>24.805907903841831</c:v>
                </c:pt>
                <c:pt idx="17">
                  <c:v>24.963155861162342</c:v>
                </c:pt>
                <c:pt idx="18">
                  <c:v>24.019668117239277</c:v>
                </c:pt>
                <c:pt idx="19">
                  <c:v>24.364863799506431</c:v>
                </c:pt>
                <c:pt idx="20">
                  <c:v>24.710059481773584</c:v>
                </c:pt>
                <c:pt idx="21">
                  <c:v>25.055255164040737</c:v>
                </c:pt>
                <c:pt idx="22">
                  <c:v>25.400450846307891</c:v>
                </c:pt>
                <c:pt idx="23">
                  <c:v>25.745646528575044</c:v>
                </c:pt>
                <c:pt idx="24">
                  <c:v>26.090842210842197</c:v>
                </c:pt>
                <c:pt idx="25">
                  <c:v>26.436037893109351</c:v>
                </c:pt>
                <c:pt idx="26">
                  <c:v>26.781233575376504</c:v>
                </c:pt>
                <c:pt idx="27">
                  <c:v>27.126429257643657</c:v>
                </c:pt>
                <c:pt idx="28">
                  <c:v>27.471624939910804</c:v>
                </c:pt>
                <c:pt idx="29">
                  <c:v>29.905978785257084</c:v>
                </c:pt>
                <c:pt idx="30">
                  <c:v>32.340332630603356</c:v>
                </c:pt>
                <c:pt idx="31">
                  <c:v>32.340332630603356</c:v>
                </c:pt>
                <c:pt idx="32">
                  <c:v>32.340332630603356</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25.099999999999998</c:v>
                </c:pt>
                <c:pt idx="1">
                  <c:v>25.568576471408942</c:v>
                </c:pt>
                <c:pt idx="2">
                  <c:v>26.037152942817887</c:v>
                </c:pt>
                <c:pt idx="3">
                  <c:v>26.505729414226828</c:v>
                </c:pt>
                <c:pt idx="4">
                  <c:v>26.685885128851403</c:v>
                </c:pt>
                <c:pt idx="5">
                  <c:v>26.866040843475979</c:v>
                </c:pt>
                <c:pt idx="6">
                  <c:v>27.046196558100554</c:v>
                </c:pt>
                <c:pt idx="7">
                  <c:v>27.22635227272513</c:v>
                </c:pt>
                <c:pt idx="8">
                  <c:v>26.866040843475982</c:v>
                </c:pt>
                <c:pt idx="9">
                  <c:v>27.045446467509837</c:v>
                </c:pt>
                <c:pt idx="10">
                  <c:v>27.224852091543692</c:v>
                </c:pt>
                <c:pt idx="11">
                  <c:v>27.404257715577547</c:v>
                </c:pt>
                <c:pt idx="12">
                  <c:v>27.583663339611402</c:v>
                </c:pt>
                <c:pt idx="13">
                  <c:v>27.763068963645257</c:v>
                </c:pt>
                <c:pt idx="14">
                  <c:v>27.942474587679111</c:v>
                </c:pt>
                <c:pt idx="15">
                  <c:v>28.121880211712966</c:v>
                </c:pt>
                <c:pt idx="16">
                  <c:v>28.301285835746821</c:v>
                </c:pt>
                <c:pt idx="17">
                  <c:v>28.480691459780676</c:v>
                </c:pt>
                <c:pt idx="18">
                  <c:v>27.404257715577543</c:v>
                </c:pt>
                <c:pt idx="19">
                  <c:v>27.798094607618705</c:v>
                </c:pt>
                <c:pt idx="20">
                  <c:v>28.191931499659866</c:v>
                </c:pt>
                <c:pt idx="21">
                  <c:v>28.585768391701027</c:v>
                </c:pt>
                <c:pt idx="22">
                  <c:v>28.979605283742188</c:v>
                </c:pt>
                <c:pt idx="23">
                  <c:v>29.373442175783349</c:v>
                </c:pt>
                <c:pt idx="24">
                  <c:v>29.767279067824511</c:v>
                </c:pt>
                <c:pt idx="25">
                  <c:v>30.161115959865672</c:v>
                </c:pt>
                <c:pt idx="26">
                  <c:v>30.554952851906833</c:v>
                </c:pt>
                <c:pt idx="27">
                  <c:v>30.948789743947994</c:v>
                </c:pt>
                <c:pt idx="28">
                  <c:v>31.342626635989149</c:v>
                </c:pt>
                <c:pt idx="29">
                  <c:v>34.120003068634226</c:v>
                </c:pt>
                <c:pt idx="30">
                  <c:v>36.897379501279289</c:v>
                </c:pt>
                <c:pt idx="31">
                  <c:v>36.897379501279289</c:v>
                </c:pt>
                <c:pt idx="32">
                  <c:v>36.897379501279289</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82</c:v>
                </c:pt>
                <c:pt idx="7">
                  <c:v>82</c:v>
                </c:pt>
                <c:pt idx="8">
                  <c:v>82</c:v>
                </c:pt>
                <c:pt idx="9">
                  <c:v>82.025471944098541</c:v>
                </c:pt>
                <c:pt idx="10">
                  <c:v>82.050943888197082</c:v>
                </c:pt>
                <c:pt idx="11">
                  <c:v>82.076415832295623</c:v>
                </c:pt>
                <c:pt idx="12">
                  <c:v>82.101887776394165</c:v>
                </c:pt>
                <c:pt idx="13">
                  <c:v>82.127359720492706</c:v>
                </c:pt>
                <c:pt idx="14">
                  <c:v>82.152831664591247</c:v>
                </c:pt>
                <c:pt idx="15">
                  <c:v>82.178303608689788</c:v>
                </c:pt>
                <c:pt idx="16">
                  <c:v>82.203775552788329</c:v>
                </c:pt>
                <c:pt idx="17">
                  <c:v>82.22924749688687</c:v>
                </c:pt>
                <c:pt idx="18">
                  <c:v>82.076415832295638</c:v>
                </c:pt>
                <c:pt idx="19">
                  <c:v>83.126860111102957</c:v>
                </c:pt>
                <c:pt idx="20">
                  <c:v>84.177304389910276</c:v>
                </c:pt>
                <c:pt idx="21">
                  <c:v>85.227748668717595</c:v>
                </c:pt>
                <c:pt idx="22">
                  <c:v>86.278192947524914</c:v>
                </c:pt>
                <c:pt idx="23">
                  <c:v>87.328637226332233</c:v>
                </c:pt>
                <c:pt idx="24">
                  <c:v>88.379081505139553</c:v>
                </c:pt>
                <c:pt idx="25">
                  <c:v>89.429525783946872</c:v>
                </c:pt>
                <c:pt idx="26">
                  <c:v>90.479970062754191</c:v>
                </c:pt>
                <c:pt idx="27">
                  <c:v>91.53041434156151</c:v>
                </c:pt>
                <c:pt idx="28">
                  <c:v>92.580858620368858</c:v>
                </c:pt>
                <c:pt idx="29">
                  <c:v>100.79773001416626</c:v>
                </c:pt>
                <c:pt idx="30">
                  <c:v>109.01460140796371</c:v>
                </c:pt>
                <c:pt idx="31">
                  <c:v>109.01460140796371</c:v>
                </c:pt>
                <c:pt idx="32">
                  <c:v>109.01460140796371</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45.814231748432107</c:v>
                </c:pt>
                <c:pt idx="7">
                  <c:v>46.285642331242812</c:v>
                </c:pt>
                <c:pt idx="8">
                  <c:v>45.342821165621402</c:v>
                </c:pt>
                <c:pt idx="9">
                  <c:v>45.918669137564208</c:v>
                </c:pt>
                <c:pt idx="10">
                  <c:v>46.494517109507015</c:v>
                </c:pt>
                <c:pt idx="11">
                  <c:v>47.070365081449822</c:v>
                </c:pt>
                <c:pt idx="12">
                  <c:v>47.646213053392628</c:v>
                </c:pt>
                <c:pt idx="13">
                  <c:v>48.222061025335435</c:v>
                </c:pt>
                <c:pt idx="14">
                  <c:v>48.797908997278242</c:v>
                </c:pt>
                <c:pt idx="15">
                  <c:v>49.373756969221049</c:v>
                </c:pt>
                <c:pt idx="16">
                  <c:v>49.949604941163855</c:v>
                </c:pt>
                <c:pt idx="17">
                  <c:v>50.525452913106662</c:v>
                </c:pt>
                <c:pt idx="18">
                  <c:v>47.070365081449829</c:v>
                </c:pt>
                <c:pt idx="19">
                  <c:v>47.746830997196319</c:v>
                </c:pt>
                <c:pt idx="20">
                  <c:v>48.42329691294281</c:v>
                </c:pt>
                <c:pt idx="21">
                  <c:v>49.0997628286893</c:v>
                </c:pt>
                <c:pt idx="22">
                  <c:v>49.776228744435791</c:v>
                </c:pt>
                <c:pt idx="23">
                  <c:v>50.452694660182281</c:v>
                </c:pt>
                <c:pt idx="24">
                  <c:v>51.129160575928772</c:v>
                </c:pt>
                <c:pt idx="25">
                  <c:v>51.805626491675262</c:v>
                </c:pt>
                <c:pt idx="26">
                  <c:v>52.482092407421753</c:v>
                </c:pt>
                <c:pt idx="27">
                  <c:v>53.158558323168243</c:v>
                </c:pt>
                <c:pt idx="28">
                  <c:v>53.835024238914734</c:v>
                </c:pt>
                <c:pt idx="29">
                  <c:v>54.789125050621124</c:v>
                </c:pt>
                <c:pt idx="30">
                  <c:v>55.743225862327513</c:v>
                </c:pt>
                <c:pt idx="31">
                  <c:v>56.697326674033903</c:v>
                </c:pt>
                <c:pt idx="32">
                  <c:v>57.651427485740292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3.4750000000000005</c:v>
                </c:pt>
                <c:pt idx="7">
                  <c:v>3.5000000000000009</c:v>
                </c:pt>
                <c:pt idx="8">
                  <c:v>3.45</c:v>
                </c:pt>
                <c:pt idx="9">
                  <c:v>3.5046227495160913</c:v>
                </c:pt>
                <c:pt idx="10">
                  <c:v>3.5592454990321825</c:v>
                </c:pt>
                <c:pt idx="11">
                  <c:v>3.6138682485482736</c:v>
                </c:pt>
                <c:pt idx="12">
                  <c:v>3.6684909980643647</c:v>
                </c:pt>
                <c:pt idx="13">
                  <c:v>3.7231137475804559</c:v>
                </c:pt>
                <c:pt idx="14">
                  <c:v>3.777736497096547</c:v>
                </c:pt>
                <c:pt idx="15">
                  <c:v>3.8323592466126382</c:v>
                </c:pt>
                <c:pt idx="16">
                  <c:v>3.8869819961287293</c:v>
                </c:pt>
                <c:pt idx="17">
                  <c:v>3.9416047456448204</c:v>
                </c:pt>
                <c:pt idx="18">
                  <c:v>3.6138682485482732</c:v>
                </c:pt>
                <c:pt idx="19">
                  <c:v>3.6658045080166493</c:v>
                </c:pt>
                <c:pt idx="20">
                  <c:v>3.7177407674850254</c:v>
                </c:pt>
                <c:pt idx="21">
                  <c:v>3.7696770269534015</c:v>
                </c:pt>
                <c:pt idx="22">
                  <c:v>3.8216132864217776</c:v>
                </c:pt>
                <c:pt idx="23">
                  <c:v>3.8735495458901537</c:v>
                </c:pt>
                <c:pt idx="24">
                  <c:v>3.9254858053585298</c:v>
                </c:pt>
                <c:pt idx="25">
                  <c:v>3.9774220648269059</c:v>
                </c:pt>
                <c:pt idx="26">
                  <c:v>4.0293583242952824</c:v>
                </c:pt>
                <c:pt idx="27">
                  <c:v>4.0812945837636585</c:v>
                </c:pt>
                <c:pt idx="28">
                  <c:v>4.1332308432320355</c:v>
                </c:pt>
                <c:pt idx="29">
                  <c:v>4.2064827634874558</c:v>
                </c:pt>
                <c:pt idx="30">
                  <c:v>4.2797346837428751</c:v>
                </c:pt>
                <c:pt idx="31">
                  <c:v>4.3529866039982945</c:v>
                </c:pt>
                <c:pt idx="32">
                  <c:v>4.4262385242537139</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0.75195193926813364</c:v>
                </c:pt>
                <c:pt idx="7">
                  <c:v>0.76789444028974219</c:v>
                </c:pt>
                <c:pt idx="8">
                  <c:v>0.73600943824652509</c:v>
                </c:pt>
                <c:pt idx="9">
                  <c:v>0.72897134163823174</c:v>
                </c:pt>
                <c:pt idx="10">
                  <c:v>0.72193324502993839</c:v>
                </c:pt>
                <c:pt idx="11">
                  <c:v>0.71489514842164503</c:v>
                </c:pt>
                <c:pt idx="12">
                  <c:v>0.70785705181335168</c:v>
                </c:pt>
                <c:pt idx="13">
                  <c:v>0.70081895520505832</c:v>
                </c:pt>
                <c:pt idx="14">
                  <c:v>0.69378085859676497</c:v>
                </c:pt>
                <c:pt idx="15">
                  <c:v>0.68674276198847162</c:v>
                </c:pt>
                <c:pt idx="16">
                  <c:v>0.67970466538017826</c:v>
                </c:pt>
                <c:pt idx="17">
                  <c:v>0.67266656877188491</c:v>
                </c:pt>
                <c:pt idx="18">
                  <c:v>0.71489514842164503</c:v>
                </c:pt>
                <c:pt idx="19">
                  <c:v>0.725169175410876</c:v>
                </c:pt>
                <c:pt idx="20">
                  <c:v>0.73544320240010697</c:v>
                </c:pt>
                <c:pt idx="21">
                  <c:v>0.74571722938933793</c:v>
                </c:pt>
                <c:pt idx="22">
                  <c:v>0.7559912563785689</c:v>
                </c:pt>
                <c:pt idx="23">
                  <c:v>0.76626528336779987</c:v>
                </c:pt>
                <c:pt idx="24">
                  <c:v>0.77653931035703083</c:v>
                </c:pt>
                <c:pt idx="25">
                  <c:v>0.7868133373462618</c:v>
                </c:pt>
                <c:pt idx="26">
                  <c:v>0.79708736433549277</c:v>
                </c:pt>
                <c:pt idx="27">
                  <c:v>0.80736139132472373</c:v>
                </c:pt>
                <c:pt idx="28">
                  <c:v>0.81763541831395481</c:v>
                </c:pt>
                <c:pt idx="29">
                  <c:v>0.8321261077363501</c:v>
                </c:pt>
                <c:pt idx="30">
                  <c:v>0.84661679715874538</c:v>
                </c:pt>
                <c:pt idx="31">
                  <c:v>0.86110748658114067</c:v>
                </c:pt>
                <c:pt idx="32">
                  <c:v>0.87559817600353596</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3.0958953881287248</c:v>
                </c:pt>
                <c:pt idx="7">
                  <c:v>3.1611938508382997</c:v>
                </c:pt>
                <c:pt idx="8">
                  <c:v>3.0305969254191498</c:v>
                </c:pt>
                <c:pt idx="9">
                  <c:v>3.0071718988497271</c:v>
                </c:pt>
                <c:pt idx="10">
                  <c:v>2.9837468722803044</c:v>
                </c:pt>
                <c:pt idx="11">
                  <c:v>2.9603218457108817</c:v>
                </c:pt>
                <c:pt idx="12">
                  <c:v>2.9368968191414591</c:v>
                </c:pt>
                <c:pt idx="13">
                  <c:v>2.9134717925720364</c:v>
                </c:pt>
                <c:pt idx="14">
                  <c:v>2.8900467660026137</c:v>
                </c:pt>
                <c:pt idx="15">
                  <c:v>2.866621739433191</c:v>
                </c:pt>
                <c:pt idx="16">
                  <c:v>2.8431967128637683</c:v>
                </c:pt>
                <c:pt idx="17">
                  <c:v>2.8197716862943456</c:v>
                </c:pt>
                <c:pt idx="18">
                  <c:v>2.9603218457108817</c:v>
                </c:pt>
                <c:pt idx="19">
                  <c:v>3.0028657440808639</c:v>
                </c:pt>
                <c:pt idx="20">
                  <c:v>3.0454096424508461</c:v>
                </c:pt>
                <c:pt idx="21">
                  <c:v>3.0879535408208283</c:v>
                </c:pt>
                <c:pt idx="22">
                  <c:v>3.1304974391908105</c:v>
                </c:pt>
                <c:pt idx="23">
                  <c:v>3.1730413375607927</c:v>
                </c:pt>
                <c:pt idx="24">
                  <c:v>3.2155852359307748</c:v>
                </c:pt>
                <c:pt idx="25">
                  <c:v>3.258129134300757</c:v>
                </c:pt>
                <c:pt idx="26">
                  <c:v>3.3006730326707392</c:v>
                </c:pt>
                <c:pt idx="27">
                  <c:v>3.3432169310407214</c:v>
                </c:pt>
                <c:pt idx="28">
                  <c:v>3.3857608294107018</c:v>
                </c:pt>
                <c:pt idx="29">
                  <c:v>3.445765579129926</c:v>
                </c:pt>
                <c:pt idx="30">
                  <c:v>3.5057703288491502</c:v>
                </c:pt>
                <c:pt idx="31">
                  <c:v>3.5657750785683744</c:v>
                </c:pt>
                <c:pt idx="32">
                  <c:v>3.6257798282875986</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0.5474446211211984</c:v>
                </c:pt>
                <c:pt idx="7">
                  <c:v>0.55108224224239677</c:v>
                </c:pt>
                <c:pt idx="8">
                  <c:v>0.54380700000000004</c:v>
                </c:pt>
                <c:pt idx="9">
                  <c:v>0.57006783146719719</c:v>
                </c:pt>
                <c:pt idx="10">
                  <c:v>0.59632866293439435</c:v>
                </c:pt>
                <c:pt idx="11">
                  <c:v>0.6225894944015915</c:v>
                </c:pt>
                <c:pt idx="12">
                  <c:v>0.64885032586878866</c:v>
                </c:pt>
                <c:pt idx="13">
                  <c:v>0.67511115733598581</c:v>
                </c:pt>
                <c:pt idx="14">
                  <c:v>0.70137198880318297</c:v>
                </c:pt>
                <c:pt idx="15">
                  <c:v>0.72763282027038012</c:v>
                </c:pt>
                <c:pt idx="16">
                  <c:v>0.75389365173757728</c:v>
                </c:pt>
                <c:pt idx="17">
                  <c:v>0.78015448320477443</c:v>
                </c:pt>
                <c:pt idx="18">
                  <c:v>0.6225894944015915</c:v>
                </c:pt>
                <c:pt idx="19">
                  <c:v>0.63153696212859445</c:v>
                </c:pt>
                <c:pt idx="20">
                  <c:v>0.64048442985559739</c:v>
                </c:pt>
                <c:pt idx="21">
                  <c:v>0.64943189758260034</c:v>
                </c:pt>
                <c:pt idx="22">
                  <c:v>0.65837936530960328</c:v>
                </c:pt>
                <c:pt idx="23">
                  <c:v>0.66732683303660623</c:v>
                </c:pt>
                <c:pt idx="24">
                  <c:v>0.67627430076360917</c:v>
                </c:pt>
                <c:pt idx="25">
                  <c:v>0.68522176849061212</c:v>
                </c:pt>
                <c:pt idx="26">
                  <c:v>0.69416923621761506</c:v>
                </c:pt>
                <c:pt idx="27">
                  <c:v>0.703116703944618</c:v>
                </c:pt>
                <c:pt idx="28">
                  <c:v>0.7120641716716205</c:v>
                </c:pt>
                <c:pt idx="29">
                  <c:v>0.72468385586018713</c:v>
                </c:pt>
                <c:pt idx="30">
                  <c:v>0.73730354004875376</c:v>
                </c:pt>
                <c:pt idx="31">
                  <c:v>0.74992322423732038</c:v>
                </c:pt>
                <c:pt idx="32">
                  <c:v>0.76254290842588701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0.29149427750000001</c:v>
                </c:pt>
                <c:pt idx="7">
                  <c:v>0.29343117800000001</c:v>
                </c:pt>
                <c:pt idx="8">
                  <c:v>0.289557377</c:v>
                </c:pt>
                <c:pt idx="9">
                  <c:v>0.29248878274193923</c:v>
                </c:pt>
                <c:pt idx="10">
                  <c:v>0.29542018848387847</c:v>
                </c:pt>
                <c:pt idx="11">
                  <c:v>0.2983515942258177</c:v>
                </c:pt>
                <c:pt idx="12">
                  <c:v>0.30128299996775693</c:v>
                </c:pt>
                <c:pt idx="13">
                  <c:v>0.30421440570969616</c:v>
                </c:pt>
                <c:pt idx="14">
                  <c:v>0.30714581145163539</c:v>
                </c:pt>
                <c:pt idx="15">
                  <c:v>0.31007721719357462</c:v>
                </c:pt>
                <c:pt idx="16">
                  <c:v>0.31300862293551385</c:v>
                </c:pt>
                <c:pt idx="17">
                  <c:v>0.31594002867745308</c:v>
                </c:pt>
                <c:pt idx="18">
                  <c:v>0.29835159422581775</c:v>
                </c:pt>
                <c:pt idx="19">
                  <c:v>0.30263931717109677</c:v>
                </c:pt>
                <c:pt idx="20">
                  <c:v>0.30692704011637578</c:v>
                </c:pt>
                <c:pt idx="21">
                  <c:v>0.3112147630616548</c:v>
                </c:pt>
                <c:pt idx="22">
                  <c:v>0.31550248600693381</c:v>
                </c:pt>
                <c:pt idx="23">
                  <c:v>0.31979020895221283</c:v>
                </c:pt>
                <c:pt idx="24">
                  <c:v>0.32407793189749184</c:v>
                </c:pt>
                <c:pt idx="25">
                  <c:v>0.32836565484277086</c:v>
                </c:pt>
                <c:pt idx="26">
                  <c:v>0.33265337778804988</c:v>
                </c:pt>
                <c:pt idx="27">
                  <c:v>0.33694110073332889</c:v>
                </c:pt>
                <c:pt idx="28">
                  <c:v>0.34122882367860796</c:v>
                </c:pt>
                <c:pt idx="29">
                  <c:v>0.34727631232103046</c:v>
                </c:pt>
                <c:pt idx="30">
                  <c:v>0.35332380096345295</c:v>
                </c:pt>
                <c:pt idx="31">
                  <c:v>0.35937128960587544</c:v>
                </c:pt>
                <c:pt idx="32">
                  <c:v>0.36541877824829794</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6.6407838452289187</c:v>
                </c:pt>
                <c:pt idx="6">
                  <c:v>6.9561757678433782</c:v>
                </c:pt>
                <c:pt idx="7">
                  <c:v>7.2715676904578377</c:v>
                </c:pt>
                <c:pt idx="8">
                  <c:v>6.6407838452289196</c:v>
                </c:pt>
                <c:pt idx="9">
                  <c:v>6.2600127394663838</c:v>
                </c:pt>
                <c:pt idx="10">
                  <c:v>5.879241633703848</c:v>
                </c:pt>
                <c:pt idx="11">
                  <c:v>5.4984705279413122</c:v>
                </c:pt>
                <c:pt idx="12">
                  <c:v>5.1176994221787764</c:v>
                </c:pt>
                <c:pt idx="13">
                  <c:v>4.7369283164162406</c:v>
                </c:pt>
                <c:pt idx="14">
                  <c:v>4.3561572106537048</c:v>
                </c:pt>
                <c:pt idx="15">
                  <c:v>3.9753861048911685</c:v>
                </c:pt>
                <c:pt idx="16">
                  <c:v>3.5946149991286322</c:v>
                </c:pt>
                <c:pt idx="17">
                  <c:v>3.213843893366096</c:v>
                </c:pt>
                <c:pt idx="18">
                  <c:v>5.4984705279413113</c:v>
                </c:pt>
                <c:pt idx="19">
                  <c:v>5.5774911154054765</c:v>
                </c:pt>
                <c:pt idx="20">
                  <c:v>5.6565117028696417</c:v>
                </c:pt>
                <c:pt idx="21">
                  <c:v>5.7355322903338068</c:v>
                </c:pt>
                <c:pt idx="22">
                  <c:v>5.814552877797972</c:v>
                </c:pt>
                <c:pt idx="23">
                  <c:v>5.8935734652621372</c:v>
                </c:pt>
                <c:pt idx="24">
                  <c:v>5.9725940527263024</c:v>
                </c:pt>
                <c:pt idx="25">
                  <c:v>6.0516146401904676</c:v>
                </c:pt>
                <c:pt idx="26">
                  <c:v>6.1306352276546328</c:v>
                </c:pt>
                <c:pt idx="27">
                  <c:v>6.2096558151187979</c:v>
                </c:pt>
                <c:pt idx="28">
                  <c:v>6.2886764025829658</c:v>
                </c:pt>
                <c:pt idx="29">
                  <c:v>6.4001285909136643</c:v>
                </c:pt>
                <c:pt idx="30">
                  <c:v>6.5115807792443627</c:v>
                </c:pt>
                <c:pt idx="31">
                  <c:v>6.6230329675750612</c:v>
                </c:pt>
                <c:pt idx="32">
                  <c:v>6.7344851559057597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1.82</c:v>
                </c:pt>
                <c:pt idx="7">
                  <c:v>1.86</c:v>
                </c:pt>
                <c:pt idx="8">
                  <c:v>1.78</c:v>
                </c:pt>
                <c:pt idx="9">
                  <c:v>1.7563356285395482</c:v>
                </c:pt>
                <c:pt idx="10">
                  <c:v>1.7326712570790963</c:v>
                </c:pt>
                <c:pt idx="11">
                  <c:v>1.7090068856186444</c:v>
                </c:pt>
                <c:pt idx="12">
                  <c:v>1.6853425141581926</c:v>
                </c:pt>
                <c:pt idx="13">
                  <c:v>1.6616781426977407</c:v>
                </c:pt>
                <c:pt idx="14">
                  <c:v>1.6380137712372889</c:v>
                </c:pt>
                <c:pt idx="15">
                  <c:v>1.614349399776837</c:v>
                </c:pt>
                <c:pt idx="16">
                  <c:v>1.5906850283163851</c:v>
                </c:pt>
                <c:pt idx="17">
                  <c:v>1.5670206568559333</c:v>
                </c:pt>
                <c:pt idx="18">
                  <c:v>1.7090068856186442</c:v>
                </c:pt>
                <c:pt idx="19">
                  <c:v>1.7335676661840085</c:v>
                </c:pt>
                <c:pt idx="20">
                  <c:v>1.7581284467493727</c:v>
                </c:pt>
                <c:pt idx="21">
                  <c:v>1.782689227314737</c:v>
                </c:pt>
                <c:pt idx="22">
                  <c:v>1.8072500078801013</c:v>
                </c:pt>
                <c:pt idx="23">
                  <c:v>1.8318107884454655</c:v>
                </c:pt>
                <c:pt idx="24">
                  <c:v>1.8563715690108298</c:v>
                </c:pt>
                <c:pt idx="25">
                  <c:v>1.880932349576194</c:v>
                </c:pt>
                <c:pt idx="26">
                  <c:v>1.9054931301415583</c:v>
                </c:pt>
                <c:pt idx="27">
                  <c:v>1.9300539107069226</c:v>
                </c:pt>
                <c:pt idx="28">
                  <c:v>1.9546146912722866</c:v>
                </c:pt>
                <c:pt idx="29">
                  <c:v>1.9892556984953889</c:v>
                </c:pt>
                <c:pt idx="30">
                  <c:v>2.0238967057184909</c:v>
                </c:pt>
                <c:pt idx="31">
                  <c:v>2.0585377129415932</c:v>
                </c:pt>
                <c:pt idx="32">
                  <c:v>2.0931787201646954</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0.10204618345129599</c:v>
                </c:pt>
                <c:pt idx="6">
                  <c:v>0.11312230387403258</c:v>
                </c:pt>
                <c:pt idx="7">
                  <c:v>0.12419842429676917</c:v>
                </c:pt>
                <c:pt idx="8">
                  <c:v>0.102046183451296</c:v>
                </c:pt>
                <c:pt idx="9">
                  <c:v>8.9315911372357781E-2</c:v>
                </c:pt>
                <c:pt idx="10">
                  <c:v>7.6585639293419563E-2</c:v>
                </c:pt>
                <c:pt idx="11">
                  <c:v>6.3855367214481346E-2</c:v>
                </c:pt>
                <c:pt idx="12">
                  <c:v>5.1125095135543135E-2</c:v>
                </c:pt>
                <c:pt idx="13">
                  <c:v>3.8394823056604924E-2</c:v>
                </c:pt>
                <c:pt idx="14">
                  <c:v>2.5664550977666713E-2</c:v>
                </c:pt>
                <c:pt idx="15">
                  <c:v>1.29342788987285E-2</c:v>
                </c:pt>
                <c:pt idx="16">
                  <c:v>2.0400681979028737E-4</c:v>
                </c:pt>
                <c:pt idx="17">
                  <c:v>-1.2526265259147925E-2</c:v>
                </c:pt>
                <c:pt idx="18">
                  <c:v>6.3855367214481359E-2</c:v>
                </c:pt>
                <c:pt idx="19">
                  <c:v>6.4773056707293386E-2</c:v>
                </c:pt>
                <c:pt idx="20">
                  <c:v>6.5690746200105413E-2</c:v>
                </c:pt>
                <c:pt idx="21">
                  <c:v>6.6608435692917439E-2</c:v>
                </c:pt>
                <c:pt idx="22">
                  <c:v>6.7526125185729466E-2</c:v>
                </c:pt>
                <c:pt idx="23">
                  <c:v>6.8443814678541492E-2</c:v>
                </c:pt>
                <c:pt idx="24">
                  <c:v>6.9361504171353519E-2</c:v>
                </c:pt>
                <c:pt idx="25">
                  <c:v>7.0279193664165546E-2</c:v>
                </c:pt>
                <c:pt idx="26">
                  <c:v>7.1196883156977572E-2</c:v>
                </c:pt>
                <c:pt idx="27">
                  <c:v>7.2114572649789599E-2</c:v>
                </c:pt>
                <c:pt idx="28">
                  <c:v>7.3032262142601598E-2</c:v>
                </c:pt>
                <c:pt idx="29">
                  <c:v>7.4326589424442813E-2</c:v>
                </c:pt>
                <c:pt idx="30">
                  <c:v>7.5620916706284028E-2</c:v>
                </c:pt>
                <c:pt idx="31">
                  <c:v>7.6915243988125243E-2</c:v>
                </c:pt>
                <c:pt idx="32">
                  <c:v>7.8209571269966457E-2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2.2822034011220193E-2</c:v>
                </c:pt>
                <c:pt idx="7">
                  <c:v>2.2973068022440389E-2</c:v>
                </c:pt>
                <c:pt idx="8">
                  <c:v>2.2670999999999997E-2</c:v>
                </c:pt>
                <c:pt idx="9">
                  <c:v>2.9660228380617045E-2</c:v>
                </c:pt>
                <c:pt idx="10">
                  <c:v>3.6649456761234094E-2</c:v>
                </c:pt>
                <c:pt idx="11">
                  <c:v>4.3638685141851138E-2</c:v>
                </c:pt>
                <c:pt idx="12">
                  <c:v>5.0627913522468183E-2</c:v>
                </c:pt>
                <c:pt idx="13">
                  <c:v>5.7617141903085228E-2</c:v>
                </c:pt>
                <c:pt idx="14">
                  <c:v>6.460637028370228E-2</c:v>
                </c:pt>
                <c:pt idx="15">
                  <c:v>7.1595598664319332E-2</c:v>
                </c:pt>
                <c:pt idx="16">
                  <c:v>7.8584827044936384E-2</c:v>
                </c:pt>
                <c:pt idx="17">
                  <c:v>8.5574055425553436E-2</c:v>
                </c:pt>
                <c:pt idx="18">
                  <c:v>4.3638685141851138E-2</c:v>
                </c:pt>
                <c:pt idx="19">
                  <c:v>4.4265833094822696E-2</c:v>
                </c:pt>
                <c:pt idx="20">
                  <c:v>4.4892981047794253E-2</c:v>
                </c:pt>
                <c:pt idx="21">
                  <c:v>4.552012900076581E-2</c:v>
                </c:pt>
                <c:pt idx="22">
                  <c:v>4.6147276953737368E-2</c:v>
                </c:pt>
                <c:pt idx="23">
                  <c:v>4.6774424906708925E-2</c:v>
                </c:pt>
                <c:pt idx="24">
                  <c:v>4.7401572859680483E-2</c:v>
                </c:pt>
                <c:pt idx="25">
                  <c:v>4.802872081265204E-2</c:v>
                </c:pt>
                <c:pt idx="26">
                  <c:v>4.8655868765623597E-2</c:v>
                </c:pt>
                <c:pt idx="27">
                  <c:v>4.9283016718595155E-2</c:v>
                </c:pt>
                <c:pt idx="28">
                  <c:v>4.9910164671566698E-2</c:v>
                </c:pt>
                <c:pt idx="29">
                  <c:v>5.0794706460091051E-2</c:v>
                </c:pt>
                <c:pt idx="30">
                  <c:v>5.1679248248615403E-2</c:v>
                </c:pt>
                <c:pt idx="31">
                  <c:v>5.2563790037139756E-2</c:v>
                </c:pt>
                <c:pt idx="32">
                  <c:v>5.3448331825664108E-2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22.410704476932139</c:v>
                </c:pt>
                <c:pt idx="2">
                  <c:v>22.821408953864278</c:v>
                </c:pt>
                <c:pt idx="3">
                  <c:v>23.232113430796417</c:v>
                </c:pt>
                <c:pt idx="4">
                  <c:v>23.390018838037079</c:v>
                </c:pt>
                <c:pt idx="5">
                  <c:v>23.547924245277741</c:v>
                </c:pt>
                <c:pt idx="6">
                  <c:v>23.705829652518403</c:v>
                </c:pt>
                <c:pt idx="7">
                  <c:v>23.863735059759065</c:v>
                </c:pt>
                <c:pt idx="8">
                  <c:v>23.547924245277745</c:v>
                </c:pt>
                <c:pt idx="9">
                  <c:v>23.705172202598256</c:v>
                </c:pt>
                <c:pt idx="10">
                  <c:v>23.862420159918766</c:v>
                </c:pt>
                <c:pt idx="11">
                  <c:v>24.019668117239277</c:v>
                </c:pt>
                <c:pt idx="12">
                  <c:v>24.176916074559788</c:v>
                </c:pt>
                <c:pt idx="13">
                  <c:v>24.334164031880299</c:v>
                </c:pt>
                <c:pt idx="14">
                  <c:v>24.49141198920081</c:v>
                </c:pt>
                <c:pt idx="15">
                  <c:v>24.64865994652132</c:v>
                </c:pt>
                <c:pt idx="16">
                  <c:v>24.805907903841831</c:v>
                </c:pt>
                <c:pt idx="17">
                  <c:v>24.963155861162342</c:v>
                </c:pt>
                <c:pt idx="18">
                  <c:v>24.019668117239277</c:v>
                </c:pt>
                <c:pt idx="19">
                  <c:v>24.364863799506431</c:v>
                </c:pt>
                <c:pt idx="20">
                  <c:v>24.710059481773584</c:v>
                </c:pt>
                <c:pt idx="21">
                  <c:v>25.055255164040737</c:v>
                </c:pt>
                <c:pt idx="22">
                  <c:v>25.400450846307891</c:v>
                </c:pt>
                <c:pt idx="23">
                  <c:v>25.745646528575044</c:v>
                </c:pt>
                <c:pt idx="24">
                  <c:v>26.090842210842197</c:v>
                </c:pt>
                <c:pt idx="25">
                  <c:v>26.436037893109351</c:v>
                </c:pt>
                <c:pt idx="26">
                  <c:v>26.781233575376504</c:v>
                </c:pt>
                <c:pt idx="27">
                  <c:v>27.126429257643657</c:v>
                </c:pt>
                <c:pt idx="28">
                  <c:v>27.471624939910804</c:v>
                </c:pt>
                <c:pt idx="29">
                  <c:v>27.95849570898006</c:v>
                </c:pt>
                <c:pt idx="30">
                  <c:v>28.445366478049316</c:v>
                </c:pt>
                <c:pt idx="31">
                  <c:v>28.932237247118572</c:v>
                </c:pt>
                <c:pt idx="32">
                  <c:v>29.419108016187828</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25.099999999999998</c:v>
                </c:pt>
                <c:pt idx="1">
                  <c:v>25.568576471408942</c:v>
                </c:pt>
                <c:pt idx="2">
                  <c:v>26.037152942817887</c:v>
                </c:pt>
                <c:pt idx="3">
                  <c:v>26.505729414226828</c:v>
                </c:pt>
                <c:pt idx="4">
                  <c:v>26.685885128851403</c:v>
                </c:pt>
                <c:pt idx="5">
                  <c:v>26.866040843475979</c:v>
                </c:pt>
                <c:pt idx="6">
                  <c:v>27.046196558100554</c:v>
                </c:pt>
                <c:pt idx="7">
                  <c:v>27.22635227272513</c:v>
                </c:pt>
                <c:pt idx="8">
                  <c:v>26.866040843475982</c:v>
                </c:pt>
                <c:pt idx="9">
                  <c:v>27.045446467509837</c:v>
                </c:pt>
                <c:pt idx="10">
                  <c:v>27.224852091543692</c:v>
                </c:pt>
                <c:pt idx="11">
                  <c:v>27.404257715577547</c:v>
                </c:pt>
                <c:pt idx="12">
                  <c:v>27.583663339611402</c:v>
                </c:pt>
                <c:pt idx="13">
                  <c:v>27.763068963645257</c:v>
                </c:pt>
                <c:pt idx="14">
                  <c:v>27.942474587679111</c:v>
                </c:pt>
                <c:pt idx="15">
                  <c:v>28.121880211712966</c:v>
                </c:pt>
                <c:pt idx="16">
                  <c:v>28.301285835746821</c:v>
                </c:pt>
                <c:pt idx="17">
                  <c:v>28.480691459780676</c:v>
                </c:pt>
                <c:pt idx="18">
                  <c:v>27.404257715577543</c:v>
                </c:pt>
                <c:pt idx="19">
                  <c:v>27.798094607618705</c:v>
                </c:pt>
                <c:pt idx="20">
                  <c:v>28.191931499659866</c:v>
                </c:pt>
                <c:pt idx="21">
                  <c:v>28.585768391701027</c:v>
                </c:pt>
                <c:pt idx="22">
                  <c:v>28.979605283742188</c:v>
                </c:pt>
                <c:pt idx="23">
                  <c:v>29.373442175783349</c:v>
                </c:pt>
                <c:pt idx="24">
                  <c:v>29.767279067824511</c:v>
                </c:pt>
                <c:pt idx="25">
                  <c:v>30.161115959865672</c:v>
                </c:pt>
                <c:pt idx="26">
                  <c:v>30.554952851906833</c:v>
                </c:pt>
                <c:pt idx="27">
                  <c:v>30.948789743947994</c:v>
                </c:pt>
                <c:pt idx="28">
                  <c:v>31.342626635989149</c:v>
                </c:pt>
                <c:pt idx="29">
                  <c:v>31.898101922518162</c:v>
                </c:pt>
                <c:pt idx="30">
                  <c:v>32.453577209047175</c:v>
                </c:pt>
                <c:pt idx="31">
                  <c:v>33.009052495576192</c:v>
                </c:pt>
                <c:pt idx="32">
                  <c:v>33.564527782105209</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82</c:v>
                </c:pt>
                <c:pt idx="7">
                  <c:v>82</c:v>
                </c:pt>
                <c:pt idx="8">
                  <c:v>82</c:v>
                </c:pt>
                <c:pt idx="9">
                  <c:v>82.025471944098541</c:v>
                </c:pt>
                <c:pt idx="10">
                  <c:v>82.050943888197082</c:v>
                </c:pt>
                <c:pt idx="11">
                  <c:v>82.076415832295623</c:v>
                </c:pt>
                <c:pt idx="12">
                  <c:v>82.101887776394165</c:v>
                </c:pt>
                <c:pt idx="13">
                  <c:v>82.127359720492706</c:v>
                </c:pt>
                <c:pt idx="14">
                  <c:v>82.152831664591247</c:v>
                </c:pt>
                <c:pt idx="15">
                  <c:v>82.178303608689788</c:v>
                </c:pt>
                <c:pt idx="16">
                  <c:v>82.203775552788329</c:v>
                </c:pt>
                <c:pt idx="17">
                  <c:v>82.22924749688687</c:v>
                </c:pt>
                <c:pt idx="18">
                  <c:v>82.076415832295638</c:v>
                </c:pt>
                <c:pt idx="19">
                  <c:v>83.126860111102957</c:v>
                </c:pt>
                <c:pt idx="20">
                  <c:v>84.177304389910276</c:v>
                </c:pt>
                <c:pt idx="21">
                  <c:v>85.227748668717595</c:v>
                </c:pt>
                <c:pt idx="22">
                  <c:v>86.278192947524914</c:v>
                </c:pt>
                <c:pt idx="23">
                  <c:v>87.328637226332233</c:v>
                </c:pt>
                <c:pt idx="24">
                  <c:v>88.379081505139553</c:v>
                </c:pt>
                <c:pt idx="25">
                  <c:v>89.429525783946872</c:v>
                </c:pt>
                <c:pt idx="26">
                  <c:v>90.479970062754191</c:v>
                </c:pt>
                <c:pt idx="27">
                  <c:v>91.53041434156151</c:v>
                </c:pt>
                <c:pt idx="28">
                  <c:v>92.580858620368858</c:v>
                </c:pt>
                <c:pt idx="29">
                  <c:v>94.224232899128339</c:v>
                </c:pt>
                <c:pt idx="30">
                  <c:v>95.86760717788782</c:v>
                </c:pt>
                <c:pt idx="31">
                  <c:v>97.510981456647301</c:v>
                </c:pt>
                <c:pt idx="32">
                  <c:v>99.154355735406781</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23.44</c:v>
                </c:pt>
                <c:pt idx="1">
                  <c:v>23.22595471053166</c:v>
                </c:pt>
                <c:pt idx="2">
                  <c:v>23.098044224261255</c:v>
                </c:pt>
                <c:pt idx="3">
                  <c:v>22.864075230945556</c:v>
                </c:pt>
                <c:pt idx="4">
                  <c:v>21.95519667252259</c:v>
                </c:pt>
                <c:pt idx="5">
                  <c:v>20.44192609486554</c:v>
                </c:pt>
                <c:pt idx="6">
                  <c:v>19.567629204601904</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16.970364490783776</c:v>
                </c:pt>
                <c:pt idx="1">
                  <c:v>17.706742132999857</c:v>
                </c:pt>
                <c:pt idx="2">
                  <c:v>18.212618708764591</c:v>
                </c:pt>
                <c:pt idx="3">
                  <c:v>18.982870373304088</c:v>
                </c:pt>
                <c:pt idx="4">
                  <c:v>21.968076242333368</c:v>
                </c:pt>
                <c:pt idx="5">
                  <c:v>25.241391122052022</c:v>
                </c:pt>
                <c:pt idx="6">
                  <c:v>28.64199879238107</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12.622024542915524</c:v>
                </c:pt>
                <c:pt idx="1">
                  <c:v>13.557709156468487</c:v>
                </c:pt>
                <c:pt idx="2">
                  <c:v>14.248713186974159</c:v>
                </c:pt>
                <c:pt idx="3">
                  <c:v>15.315885695750353</c:v>
                </c:pt>
                <c:pt idx="4">
                  <c:v>18.883034605144044</c:v>
                </c:pt>
                <c:pt idx="5">
                  <c:v>22.904553213082437</c:v>
                </c:pt>
                <c:pt idx="6">
                  <c:v>26.986581433017019</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0.11720000000000001</c:v>
                </c:pt>
                <c:pt idx="1">
                  <c:v>0.11432037615472779</c:v>
                </c:pt>
                <c:pt idx="2">
                  <c:v>0.10977598336261295</c:v>
                </c:pt>
                <c:pt idx="3">
                  <c:v>0.1022096304743277</c:v>
                </c:pt>
                <c:pt idx="4">
                  <c:v>9.7838146023009526E-2</c:v>
                </c:pt>
                <c:pt idx="6">
                  <c:v>0.11720000000000001</c:v>
                </c:pt>
                <c:pt idx="7">
                  <c:v>0.32581307204097415</c:v>
                </c:pt>
                <c:pt idx="8">
                  <c:v>0.24768206246189545</c:v>
                </c:pt>
                <c:pt idx="9">
                  <c:v>0.17526396385585341</c:v>
                </c:pt>
                <c:pt idx="10">
                  <c:v>0.15937956284830779</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2.816260438546982</c:v>
                </c:pt>
                <c:pt idx="1">
                  <c:v>3.1502391637748968</c:v>
                </c:pt>
                <c:pt idx="2">
                  <c:v>3.6456390825233207</c:v>
                </c:pt>
                <c:pt idx="3">
                  <c:v>4.1888511746186428</c:v>
                </c:pt>
                <c:pt idx="4">
                  <c:v>4.7531877187257638</c:v>
                </c:pt>
                <c:pt idx="6">
                  <c:v>2.816260438546982</c:v>
                </c:pt>
                <c:pt idx="7">
                  <c:v>2.8430908453068438</c:v>
                </c:pt>
                <c:pt idx="8">
                  <c:v>2.9693958179595095</c:v>
                </c:pt>
                <c:pt idx="9">
                  <c:v>3.0791905294971689</c:v>
                </c:pt>
                <c:pt idx="10">
                  <c:v>3.1533618463549198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4.0841475475582119</c:v>
                </c:pt>
                <c:pt idx="1">
                  <c:v>5.0333101808829568</c:v>
                </c:pt>
                <c:pt idx="2">
                  <c:v>6.2220931573686062</c:v>
                </c:pt>
                <c:pt idx="3">
                  <c:v>7.5497993765879503</c:v>
                </c:pt>
                <c:pt idx="4">
                  <c:v>8.9290630040445826</c:v>
                </c:pt>
                <c:pt idx="6">
                  <c:v>4.0841475475582119</c:v>
                </c:pt>
                <c:pt idx="7">
                  <c:v>4.7111154919148301</c:v>
                </c:pt>
                <c:pt idx="8">
                  <c:v>5.5215709229946084</c:v>
                </c:pt>
                <c:pt idx="9">
                  <c:v>6.3668104722109442</c:v>
                </c:pt>
                <c:pt idx="10">
                  <c:v>7.1311110862693727</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0.4643495748988149</c:v>
                </c:pt>
                <c:pt idx="1">
                  <c:v>0.47422076907554611</c:v>
                </c:pt>
                <c:pt idx="2">
                  <c:v>0.51747662378236725</c:v>
                </c:pt>
                <c:pt idx="3">
                  <c:v>0.56420130268307567</c:v>
                </c:pt>
                <c:pt idx="4">
                  <c:v>0.599301409057033</c:v>
                </c:pt>
                <c:pt idx="6">
                  <c:v>0.4643495748988149</c:v>
                </c:pt>
                <c:pt idx="7">
                  <c:v>0.47422076907554611</c:v>
                </c:pt>
                <c:pt idx="8">
                  <c:v>0.51747662378236725</c:v>
                </c:pt>
                <c:pt idx="9">
                  <c:v>0.56420130268307567</c:v>
                </c:pt>
                <c:pt idx="10">
                  <c:v>0.599301409057033</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111.62975925903054</c:v>
                </c:pt>
                <c:pt idx="1">
                  <c:v>131.32541003205617</c:v>
                </c:pt>
                <c:pt idx="2">
                  <c:v>157.53616782976434</c:v>
                </c:pt>
                <c:pt idx="3">
                  <c:v>186.62296496833531</c:v>
                </c:pt>
                <c:pt idx="4">
                  <c:v>216.65353999825388</c:v>
                </c:pt>
                <c:pt idx="6">
                  <c:v>111.62975925903054</c:v>
                </c:pt>
                <c:pt idx="7">
                  <c:v>120.78849530516113</c:v>
                </c:pt>
                <c:pt idx="8">
                  <c:v>132.87119864107342</c:v>
                </c:pt>
                <c:pt idx="9">
                  <c:v>144.9599820986891</c:v>
                </c:pt>
                <c:pt idx="10">
                  <c:v>153.59299655505879</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12.817493255318613</c:v>
                </c:pt>
                <c:pt idx="1">
                  <c:v>15.078976865227451</c:v>
                </c:pt>
                <c:pt idx="2">
                  <c:v>18.088534652675033</c:v>
                </c:pt>
                <c:pt idx="3">
                  <c:v>21.428323510208507</c:v>
                </c:pt>
                <c:pt idx="4">
                  <c:v>24.876478334283181</c:v>
                </c:pt>
                <c:pt idx="6">
                  <c:v>12.817493255318613</c:v>
                </c:pt>
                <c:pt idx="7">
                  <c:v>13.946553655475576</c:v>
                </c:pt>
                <c:pt idx="8">
                  <c:v>13.649883489241191</c:v>
                </c:pt>
                <c:pt idx="9">
                  <c:v>13.087736272922701</c:v>
                </c:pt>
                <c:pt idx="10">
                  <c:v>13.867169429642978</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4.3692876403178262</c:v>
                </c:pt>
                <c:pt idx="1">
                  <c:v>5.1401928546783555</c:v>
                </c:pt>
                <c:pt idx="2">
                  <c:v>6.1661051279741148</c:v>
                </c:pt>
                <c:pt idx="3">
                  <c:v>7.3045881281845535</c:v>
                </c:pt>
                <c:pt idx="4">
                  <c:v>8.480011430902513</c:v>
                </c:pt>
                <c:pt idx="6">
                  <c:v>4.3692876403178262</c:v>
                </c:pt>
                <c:pt idx="7">
                  <c:v>4.7304875941190323</c:v>
                </c:pt>
                <c:pt idx="8">
                  <c:v>5.1442899723652848</c:v>
                </c:pt>
                <c:pt idx="9">
                  <c:v>5.5489850399219769</c:v>
                </c:pt>
                <c:pt idx="10">
                  <c:v>5.8794518858354383</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16.93374602974195</c:v>
                </c:pt>
                <c:pt idx="1">
                  <c:v>17.357617169578113</c:v>
                </c:pt>
                <c:pt idx="2">
                  <c:v>22.750580874303502</c:v>
                </c:pt>
                <c:pt idx="3">
                  <c:v>20.015914337349606</c:v>
                </c:pt>
                <c:pt idx="4">
                  <c:v>15.238452224125579</c:v>
                </c:pt>
                <c:pt idx="6">
                  <c:v>16.93374602974195</c:v>
                </c:pt>
                <c:pt idx="7">
                  <c:v>17.790008315733722</c:v>
                </c:pt>
                <c:pt idx="8">
                  <c:v>23.437034228640499</c:v>
                </c:pt>
                <c:pt idx="9">
                  <c:v>19.26082864590219</c:v>
                </c:pt>
                <c:pt idx="10">
                  <c:v>9.809416146378382</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99.707811185493327</c:v>
                </c:pt>
                <c:pt idx="1">
                  <c:v>102.20361238054691</c:v>
                </c:pt>
                <c:pt idx="2">
                  <c:v>105.38383710002381</c:v>
                </c:pt>
                <c:pt idx="3">
                  <c:v>105.89720641456819</c:v>
                </c:pt>
                <c:pt idx="4">
                  <c:v>107.32092242303011</c:v>
                </c:pt>
                <c:pt idx="6">
                  <c:v>99.707811185493327</c:v>
                </c:pt>
                <c:pt idx="7">
                  <c:v>104.74958033609795</c:v>
                </c:pt>
                <c:pt idx="8">
                  <c:v>108.56358397637383</c:v>
                </c:pt>
                <c:pt idx="9">
                  <c:v>101.90231195308031</c:v>
                </c:pt>
                <c:pt idx="10">
                  <c:v>85.210923699762759</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0.57267301072509957</c:v>
                </c:pt>
                <c:pt idx="1">
                  <c:v>5.4751988889922485</c:v>
                </c:pt>
                <c:pt idx="2">
                  <c:v>13.230698613018788</c:v>
                </c:pt>
                <c:pt idx="3">
                  <c:v>25.598971774222363</c:v>
                </c:pt>
                <c:pt idx="4">
                  <c:v>39.522532270469995</c:v>
                </c:pt>
                <c:pt idx="6">
                  <c:v>0.57267301072509957</c:v>
                </c:pt>
                <c:pt idx="7">
                  <c:v>5.4751988889922485</c:v>
                </c:pt>
                <c:pt idx="8">
                  <c:v>18.359892757028422</c:v>
                </c:pt>
                <c:pt idx="9">
                  <c:v>50.799770077609786</c:v>
                </c:pt>
                <c:pt idx="10">
                  <c:v>107.14263958171536</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17.317596874493457</c:v>
                </c:pt>
                <c:pt idx="1">
                  <c:v>17.751076242468041</c:v>
                </c:pt>
                <c:pt idx="2">
                  <c:v>13.450574262498447</c:v>
                </c:pt>
                <c:pt idx="3">
                  <c:v>16.361591962113614</c:v>
                </c:pt>
                <c:pt idx="4">
                  <c:v>21.628124937733357</c:v>
                </c:pt>
                <c:pt idx="6">
                  <c:v>17.317596874493457</c:v>
                </c:pt>
                <c:pt idx="7">
                  <c:v>18.193268746599813</c:v>
                </c:pt>
                <c:pt idx="8">
                  <c:v>13.85641848560924</c:v>
                </c:pt>
                <c:pt idx="9">
                  <c:v>15.744362902692641</c:v>
                </c:pt>
                <c:pt idx="10">
                  <c:v>19.461997317884332</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0.61971821350573497</c:v>
                </c:pt>
                <c:pt idx="1">
                  <c:v>0.73142817808853577</c:v>
                </c:pt>
                <c:pt idx="2">
                  <c:v>0.88344238904657568</c:v>
                </c:pt>
                <c:pt idx="3">
                  <c:v>1.0536429287304157</c:v>
                </c:pt>
                <c:pt idx="4">
                  <c:v>1.2274010452801494</c:v>
                </c:pt>
                <c:pt idx="6">
                  <c:v>0.61971821350573497</c:v>
                </c:pt>
                <c:pt idx="7">
                  <c:v>0.73142817808853577</c:v>
                </c:pt>
                <c:pt idx="8">
                  <c:v>2.6085476831656695</c:v>
                </c:pt>
                <c:pt idx="9">
                  <c:v>7.6112887964613991</c:v>
                </c:pt>
                <c:pt idx="10">
                  <c:v>14.102945285688985</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79.735542327878974</c:v>
                </c:pt>
                <c:pt idx="1">
                  <c:v>93.803864308611566</c:v>
                </c:pt>
                <c:pt idx="2">
                  <c:v>112.52583416411741</c:v>
                </c:pt>
                <c:pt idx="3">
                  <c:v>133.30211783452521</c:v>
                </c:pt>
                <c:pt idx="4">
                  <c:v>154.75252857018134</c:v>
                </c:pt>
                <c:pt idx="6">
                  <c:v>79.735542327878974</c:v>
                </c:pt>
                <c:pt idx="7">
                  <c:v>84.17316746004262</c:v>
                </c:pt>
                <c:pt idx="8">
                  <c:v>90.33479978997093</c:v>
                </c:pt>
                <c:pt idx="9">
                  <c:v>96.149824274128576</c:v>
                </c:pt>
                <c:pt idx="10">
                  <c:v>99.391195904130043</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9.1553523252275824</c:v>
                </c:pt>
                <c:pt idx="1">
                  <c:v>10.770697760876752</c:v>
                </c:pt>
                <c:pt idx="2">
                  <c:v>12.920381894767884</c:v>
                </c:pt>
                <c:pt idx="3">
                  <c:v>15.305945364434647</c:v>
                </c:pt>
                <c:pt idx="4">
                  <c:v>17.76891309591656</c:v>
                </c:pt>
                <c:pt idx="6">
                  <c:v>9.1553523252275824</c:v>
                </c:pt>
                <c:pt idx="7">
                  <c:v>9.718852721585769</c:v>
                </c:pt>
                <c:pt idx="8">
                  <c:v>9.2801111510095655</c:v>
                </c:pt>
                <c:pt idx="9">
                  <c:v>8.6809029952207482</c:v>
                </c:pt>
                <c:pt idx="10">
                  <c:v>8.9735507759517894</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3.1209197430841624</c:v>
                </c:pt>
                <c:pt idx="1">
                  <c:v>3.6715663247702541</c:v>
                </c:pt>
                <c:pt idx="2">
                  <c:v>4.4043608056957968</c:v>
                </c:pt>
                <c:pt idx="3">
                  <c:v>5.217562948703252</c:v>
                </c:pt>
                <c:pt idx="4">
                  <c:v>6.0571510220732225</c:v>
                </c:pt>
                <c:pt idx="6">
                  <c:v>3.1209197430841624</c:v>
                </c:pt>
                <c:pt idx="7">
                  <c:v>3.296507034229291</c:v>
                </c:pt>
                <c:pt idx="8">
                  <c:v>3.497435181348032</c:v>
                </c:pt>
                <c:pt idx="9">
                  <c:v>3.6805601709100326</c:v>
                </c:pt>
                <c:pt idx="10">
                  <c:v>3.8046380193155365</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0.677349841189678</c:v>
                </c:pt>
                <c:pt idx="1">
                  <c:v>0.69430468678312451</c:v>
                </c:pt>
                <c:pt idx="2">
                  <c:v>0.9100232349721401</c:v>
                </c:pt>
                <c:pt idx="3">
                  <c:v>0.8006365734939842</c:v>
                </c:pt>
                <c:pt idx="4">
                  <c:v>0.60953808896502315</c:v>
                </c:pt>
                <c:pt idx="6">
                  <c:v>0.677349841189678</c:v>
                </c:pt>
                <c:pt idx="7">
                  <c:v>0.67771460250414184</c:v>
                </c:pt>
                <c:pt idx="8">
                  <c:v>0.85032323732029025</c:v>
                </c:pt>
                <c:pt idx="9">
                  <c:v>0.66552911852809638</c:v>
                </c:pt>
                <c:pt idx="10">
                  <c:v>0.33894969947533549</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7.1219865132495235</c:v>
                </c:pt>
                <c:pt idx="1">
                  <c:v>7.3002580271819228</c:v>
                </c:pt>
                <c:pt idx="2">
                  <c:v>7.5274169357159861</c:v>
                </c:pt>
                <c:pt idx="3">
                  <c:v>7.5640861724691559</c:v>
                </c:pt>
                <c:pt idx="4">
                  <c:v>7.6657801730735793</c:v>
                </c:pt>
                <c:pt idx="6">
                  <c:v>7.1219865132495235</c:v>
                </c:pt>
                <c:pt idx="7">
                  <c:v>7.1258217915712887</c:v>
                </c:pt>
                <c:pt idx="8">
                  <c:v>7.033597925259075</c:v>
                </c:pt>
                <c:pt idx="9">
                  <c:v>6.2876463173110153</c:v>
                </c:pt>
                <c:pt idx="10">
                  <c:v>5.2577428355322775</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2.2906920429003982E-2</c:v>
                </c:pt>
                <c:pt idx="1">
                  <c:v>0.21900795555968994</c:v>
                </c:pt>
                <c:pt idx="2">
                  <c:v>0.5292279445207515</c:v>
                </c:pt>
                <c:pt idx="3">
                  <c:v>1.0239588709688945</c:v>
                </c:pt>
                <c:pt idx="4">
                  <c:v>1.5809012908187998</c:v>
                </c:pt>
                <c:pt idx="6">
                  <c:v>2.2906920429003982E-2</c:v>
                </c:pt>
                <c:pt idx="7">
                  <c:v>0.2085790052949428</c:v>
                </c:pt>
                <c:pt idx="8">
                  <c:v>0.6661185580781287</c:v>
                </c:pt>
                <c:pt idx="9">
                  <c:v>1.7553100555917429</c:v>
                </c:pt>
                <c:pt idx="10">
                  <c:v>3.7021536190636986</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111.62975925903054</c:v>
                </c:pt>
                <c:pt idx="1">
                  <c:v>131.32541003205617</c:v>
                </c:pt>
                <c:pt idx="2">
                  <c:v>157.53616782976434</c:v>
                </c:pt>
                <c:pt idx="3">
                  <c:v>186.62296496833531</c:v>
                </c:pt>
                <c:pt idx="4">
                  <c:v>216.65353999825388</c:v>
                </c:pt>
                <c:pt idx="6">
                  <c:v>111.62975925903054</c:v>
                </c:pt>
                <c:pt idx="7">
                  <c:v>120.78849530516113</c:v>
                </c:pt>
                <c:pt idx="8">
                  <c:v>132.87119864107342</c:v>
                </c:pt>
                <c:pt idx="9">
                  <c:v>144.9599820986891</c:v>
                </c:pt>
                <c:pt idx="10">
                  <c:v>153.59299655505879</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12.817493255318613</c:v>
                </c:pt>
                <c:pt idx="1">
                  <c:v>15.078976865227451</c:v>
                </c:pt>
                <c:pt idx="2">
                  <c:v>18.088534652675033</c:v>
                </c:pt>
                <c:pt idx="3">
                  <c:v>21.428323510208507</c:v>
                </c:pt>
                <c:pt idx="4">
                  <c:v>24.876478334283181</c:v>
                </c:pt>
                <c:pt idx="6">
                  <c:v>12.817493255318613</c:v>
                </c:pt>
                <c:pt idx="7">
                  <c:v>13.946553655475576</c:v>
                </c:pt>
                <c:pt idx="8">
                  <c:v>13.649883489241191</c:v>
                </c:pt>
                <c:pt idx="9">
                  <c:v>13.087736272922701</c:v>
                </c:pt>
                <c:pt idx="10">
                  <c:v>13.867169429642978</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4.3692876403178262</c:v>
                </c:pt>
                <c:pt idx="1">
                  <c:v>5.1401928546783555</c:v>
                </c:pt>
                <c:pt idx="2">
                  <c:v>6.1661051279741148</c:v>
                </c:pt>
                <c:pt idx="3">
                  <c:v>7.3045881281845535</c:v>
                </c:pt>
                <c:pt idx="4">
                  <c:v>8.480011430902513</c:v>
                </c:pt>
                <c:pt idx="6">
                  <c:v>4.3692876403178262</c:v>
                </c:pt>
                <c:pt idx="7">
                  <c:v>4.7304875941190323</c:v>
                </c:pt>
                <c:pt idx="8">
                  <c:v>5.1442899723652848</c:v>
                </c:pt>
                <c:pt idx="9">
                  <c:v>5.5489850399219769</c:v>
                </c:pt>
                <c:pt idx="10">
                  <c:v>5.8794518858354383</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16.93374602974195</c:v>
                </c:pt>
                <c:pt idx="1">
                  <c:v>17.357617169578113</c:v>
                </c:pt>
                <c:pt idx="2">
                  <c:v>22.750580874303502</c:v>
                </c:pt>
                <c:pt idx="3">
                  <c:v>20.015914337349606</c:v>
                </c:pt>
                <c:pt idx="4">
                  <c:v>15.238452224125579</c:v>
                </c:pt>
                <c:pt idx="6">
                  <c:v>16.93374602974195</c:v>
                </c:pt>
                <c:pt idx="7">
                  <c:v>17.790008315733722</c:v>
                </c:pt>
                <c:pt idx="8">
                  <c:v>23.437034228640499</c:v>
                </c:pt>
                <c:pt idx="9">
                  <c:v>19.26082864590219</c:v>
                </c:pt>
                <c:pt idx="10">
                  <c:v>9.809416146378382</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99.707811185493327</c:v>
                </c:pt>
                <c:pt idx="1">
                  <c:v>102.20361238054691</c:v>
                </c:pt>
                <c:pt idx="2">
                  <c:v>105.38383710002381</c:v>
                </c:pt>
                <c:pt idx="3">
                  <c:v>105.89720641456819</c:v>
                </c:pt>
                <c:pt idx="4">
                  <c:v>107.32092242303011</c:v>
                </c:pt>
                <c:pt idx="6">
                  <c:v>99.707811185493327</c:v>
                </c:pt>
                <c:pt idx="7">
                  <c:v>104.74958033609795</c:v>
                </c:pt>
                <c:pt idx="8">
                  <c:v>108.56358397637383</c:v>
                </c:pt>
                <c:pt idx="9">
                  <c:v>101.90231195308031</c:v>
                </c:pt>
                <c:pt idx="10">
                  <c:v>85.210923699762759</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0.57267301072509957</c:v>
                </c:pt>
                <c:pt idx="1">
                  <c:v>5.4751988889922485</c:v>
                </c:pt>
                <c:pt idx="2">
                  <c:v>13.230698613018788</c:v>
                </c:pt>
                <c:pt idx="3">
                  <c:v>25.598971774222363</c:v>
                </c:pt>
                <c:pt idx="4">
                  <c:v>39.522532270469995</c:v>
                </c:pt>
                <c:pt idx="6">
                  <c:v>0.57267301072509957</c:v>
                </c:pt>
                <c:pt idx="7">
                  <c:v>5.4751988889922485</c:v>
                </c:pt>
                <c:pt idx="8">
                  <c:v>18.359892757028422</c:v>
                </c:pt>
                <c:pt idx="9">
                  <c:v>50.799770077609786</c:v>
                </c:pt>
                <c:pt idx="10">
                  <c:v>107.14263958171536</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17.317596874493457</c:v>
                </c:pt>
                <c:pt idx="1">
                  <c:v>17.751076242468041</c:v>
                </c:pt>
                <c:pt idx="2">
                  <c:v>13.450574262498447</c:v>
                </c:pt>
                <c:pt idx="3">
                  <c:v>16.361591962113614</c:v>
                </c:pt>
                <c:pt idx="4">
                  <c:v>21.628124937733357</c:v>
                </c:pt>
                <c:pt idx="6">
                  <c:v>17.317596874493457</c:v>
                </c:pt>
                <c:pt idx="7">
                  <c:v>18.193268746599813</c:v>
                </c:pt>
                <c:pt idx="8">
                  <c:v>13.85641848560924</c:v>
                </c:pt>
                <c:pt idx="9">
                  <c:v>15.744362902692641</c:v>
                </c:pt>
                <c:pt idx="10">
                  <c:v>19.461997317884332</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0.61971821350573497</c:v>
                </c:pt>
                <c:pt idx="1">
                  <c:v>0.73142817808853577</c:v>
                </c:pt>
                <c:pt idx="2">
                  <c:v>0.88344238904657568</c:v>
                </c:pt>
                <c:pt idx="3">
                  <c:v>1.0536429287304157</c:v>
                </c:pt>
                <c:pt idx="4">
                  <c:v>1.2274010452801494</c:v>
                </c:pt>
                <c:pt idx="6">
                  <c:v>0.61971821350573497</c:v>
                </c:pt>
                <c:pt idx="7">
                  <c:v>0.73142817808853577</c:v>
                </c:pt>
                <c:pt idx="8">
                  <c:v>2.6085476831656695</c:v>
                </c:pt>
                <c:pt idx="9">
                  <c:v>7.6112887964613991</c:v>
                </c:pt>
                <c:pt idx="10">
                  <c:v>14.102945285688985</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0.06</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0.50349999999999995</c:v>
                </c:pt>
                <c:pt idx="8">
                  <c:v>0.47832499999999994</c:v>
                </c:pt>
                <c:pt idx="9">
                  <c:v>0.45440874999999992</c:v>
                </c:pt>
                <c:pt idx="10">
                  <c:v>0.43168831249999989</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0.78378378378378377</c:v>
                </c:pt>
                <c:pt idx="1">
                  <c:v>0.78378378378378377</c:v>
                </c:pt>
                <c:pt idx="2">
                  <c:v>0.78378378378378377</c:v>
                </c:pt>
                <c:pt idx="3">
                  <c:v>0.78378378378378377</c:v>
                </c:pt>
                <c:pt idx="4">
                  <c:v>0.78378378378378377</c:v>
                </c:pt>
                <c:pt idx="6">
                  <c:v>0.78378378378378377</c:v>
                </c:pt>
                <c:pt idx="7">
                  <c:v>0.76418918918918921</c:v>
                </c:pt>
                <c:pt idx="8">
                  <c:v>0.74508445945945945</c:v>
                </c:pt>
                <c:pt idx="9">
                  <c:v>0.7264573479729729</c:v>
                </c:pt>
                <c:pt idx="10">
                  <c:v>0.70829591427364857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0.23749999999999999</c:v>
                </c:pt>
                <c:pt idx="8">
                  <c:v>0.22562499999999999</c:v>
                </c:pt>
                <c:pt idx="9">
                  <c:v>0.21434374999999997</c:v>
                </c:pt>
                <c:pt idx="10">
                  <c:v>0.20362656249999997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0.29746055226824453</c:v>
                </c:pt>
                <c:pt idx="8">
                  <c:v>0.28258752465483228</c:v>
                </c:pt>
                <c:pt idx="9">
                  <c:v>0.26845814842209065</c:v>
                </c:pt>
                <c:pt idx="10">
                  <c:v>0.25503524100098612</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0.41929077225408967</c:v>
                </c:pt>
                <c:pt idx="2">
                  <c:v>0.42040555530697982</c:v>
                </c:pt>
                <c:pt idx="3">
                  <c:v>0.42054968561387435</c:v>
                </c:pt>
                <c:pt idx="4">
                  <c:v>0.42214508816317892</c:v>
                </c:pt>
                <c:pt idx="6">
                  <c:v>0.41283463855351005</c:v>
                </c:pt>
                <c:pt idx="7" formatCode="0%">
                  <c:v>0.4025137725896723</c:v>
                </c:pt>
                <c:pt idx="8" formatCode="0%">
                  <c:v>0.3924509282749305</c:v>
                </c:pt>
                <c:pt idx="9" formatCode="0%">
                  <c:v>0.38263965506805725</c:v>
                </c:pt>
                <c:pt idx="10" formatCode="0%">
                  <c:v>0.37307366369135581</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7.6260413845633037</c:v>
                </c:pt>
                <c:pt idx="8">
                  <c:v>7.2447393153351385</c:v>
                </c:pt>
                <c:pt idx="9">
                  <c:v>6.882502349568381</c:v>
                </c:pt>
                <c:pt idx="10">
                  <c:v>6.538377232089962</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11.181727866558514</c:v>
                </c:pt>
                <c:pt idx="1">
                  <c:v>11.181727866558514</c:v>
                </c:pt>
                <c:pt idx="2">
                  <c:v>11.181727866558514</c:v>
                </c:pt>
                <c:pt idx="3">
                  <c:v>11.181727866558514</c:v>
                </c:pt>
                <c:pt idx="4">
                  <c:v>11.181727866558514</c:v>
                </c:pt>
                <c:pt idx="6">
                  <c:v>11.181727866558514</c:v>
                </c:pt>
                <c:pt idx="7">
                  <c:v>10.622641473230589</c:v>
                </c:pt>
                <c:pt idx="8">
                  <c:v>10.091509399569059</c:v>
                </c:pt>
                <c:pt idx="9">
                  <c:v>9.5869339295906055</c:v>
                </c:pt>
                <c:pt idx="10">
                  <c:v>9.1075872331110741</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13.053305250258999</c:v>
                </c:pt>
                <c:pt idx="1">
                  <c:v>13.053305250258999</c:v>
                </c:pt>
                <c:pt idx="2">
                  <c:v>13.053305250258999</c:v>
                </c:pt>
                <c:pt idx="3">
                  <c:v>13.053305250258999</c:v>
                </c:pt>
                <c:pt idx="4">
                  <c:v>13.053305250258999</c:v>
                </c:pt>
                <c:pt idx="6">
                  <c:v>13.053305250258999</c:v>
                </c:pt>
                <c:pt idx="7">
                  <c:v>12.400639987746048</c:v>
                </c:pt>
                <c:pt idx="8">
                  <c:v>11.780607988358746</c:v>
                </c:pt>
                <c:pt idx="9">
                  <c:v>11.191577588940808</c:v>
                </c:pt>
                <c:pt idx="10">
                  <c:v>10.631998709493766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[8]RES!$C$22</c:f>
              <c:strCache>
                <c:ptCount val="1"/>
                <c:pt idx="0">
                  <c:v>Low Income</c:v>
                </c:pt>
              </c:strCache>
            </c:strRef>
          </c:tx>
          <c:cat>
            <c:numRef>
              <c:f>[8]RES!$E$21:$I$21</c:f>
              <c:numCache>
                <c:formatCode>General</c:formatCode>
                <c:ptCount val="5"/>
                <c:pt idx="0">
                  <c:v>2012</c:v>
                </c:pt>
                <c:pt idx="1">
                  <c:v>2020</c:v>
                </c:pt>
                <c:pt idx="2">
                  <c:v>2030</c:v>
                </c:pt>
                <c:pt idx="3">
                  <c:v>2040</c:v>
                </c:pt>
                <c:pt idx="4">
                  <c:v>2050</c:v>
                </c:pt>
              </c:numCache>
            </c:numRef>
          </c:cat>
          <c:val>
            <c:numRef>
              <c:f>[8]RES!$E$22:$I$22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[8]RES!$C$23</c:f>
              <c:strCache>
                <c:ptCount val="1"/>
                <c:pt idx="0">
                  <c:v>Middle Income</c:v>
                </c:pt>
              </c:strCache>
            </c:strRef>
          </c:tx>
          <c:cat>
            <c:numRef>
              <c:f>[8]RES!$E$21:$I$21</c:f>
              <c:numCache>
                <c:formatCode>General</c:formatCode>
                <c:ptCount val="5"/>
                <c:pt idx="0">
                  <c:v>2012</c:v>
                </c:pt>
                <c:pt idx="1">
                  <c:v>2020</c:v>
                </c:pt>
                <c:pt idx="2">
                  <c:v>2030</c:v>
                </c:pt>
                <c:pt idx="3">
                  <c:v>2040</c:v>
                </c:pt>
                <c:pt idx="4">
                  <c:v>2050</c:v>
                </c:pt>
              </c:numCache>
            </c:numRef>
          </c:cat>
          <c:val>
            <c:numRef>
              <c:f>[8]RES!$E$23:$I$23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[8]RES!$C$24</c:f>
              <c:strCache>
                <c:ptCount val="1"/>
                <c:pt idx="0">
                  <c:v>High Income</c:v>
                </c:pt>
              </c:strCache>
            </c:strRef>
          </c:tx>
          <c:cat>
            <c:numRef>
              <c:f>[8]RES!$E$21:$I$21</c:f>
              <c:numCache>
                <c:formatCode>General</c:formatCode>
                <c:ptCount val="5"/>
                <c:pt idx="0">
                  <c:v>2012</c:v>
                </c:pt>
                <c:pt idx="1">
                  <c:v>2020</c:v>
                </c:pt>
                <c:pt idx="2">
                  <c:v>2030</c:v>
                </c:pt>
                <c:pt idx="3">
                  <c:v>2040</c:v>
                </c:pt>
                <c:pt idx="4">
                  <c:v>2050</c:v>
                </c:pt>
              </c:numCache>
            </c:numRef>
          </c:cat>
          <c:val>
            <c:numRef>
              <c:f>[8]RES!$E$24:$I$24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1.0312770930423893</c:v>
                </c:pt>
                <c:pt idx="2">
                  <c:v>1.0625541860847787</c:v>
                </c:pt>
                <c:pt idx="3">
                  <c:v>1.0738543861159591</c:v>
                </c:pt>
                <c:pt idx="4">
                  <c:v>1.0753270113967346</c:v>
                </c:pt>
                <c:pt idx="5">
                  <c:v>1.0916445074168699</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0.11720000000000001</c:v>
                </c:pt>
                <c:pt idx="1">
                  <c:v>0.11432037615472779</c:v>
                </c:pt>
                <c:pt idx="2">
                  <c:v>0.10977598336261295</c:v>
                </c:pt>
                <c:pt idx="3">
                  <c:v>0.1022096304743277</c:v>
                </c:pt>
                <c:pt idx="4">
                  <c:v>9.7838146023009526E-2</c:v>
                </c:pt>
                <c:pt idx="6">
                  <c:v>0.11720000000000001</c:v>
                </c:pt>
                <c:pt idx="7">
                  <c:v>0.32581307204097415</c:v>
                </c:pt>
                <c:pt idx="8">
                  <c:v>0.24768206246189545</c:v>
                </c:pt>
                <c:pt idx="9">
                  <c:v>0.17526396385585341</c:v>
                </c:pt>
                <c:pt idx="10">
                  <c:v>0.15937956284830779</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2.816260438546982</c:v>
                </c:pt>
                <c:pt idx="1">
                  <c:v>3.1502391637748968</c:v>
                </c:pt>
                <c:pt idx="2">
                  <c:v>3.6456390825233207</c:v>
                </c:pt>
                <c:pt idx="3">
                  <c:v>4.1888511746186428</c:v>
                </c:pt>
                <c:pt idx="4">
                  <c:v>4.7531877187257638</c:v>
                </c:pt>
                <c:pt idx="6">
                  <c:v>2.816260438546982</c:v>
                </c:pt>
                <c:pt idx="7">
                  <c:v>2.8430908453068438</c:v>
                </c:pt>
                <c:pt idx="8">
                  <c:v>2.9693958179595095</c:v>
                </c:pt>
                <c:pt idx="9">
                  <c:v>3.0791905294971689</c:v>
                </c:pt>
                <c:pt idx="10">
                  <c:v>3.1533618463549198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4.0841475475582119</c:v>
                </c:pt>
                <c:pt idx="1">
                  <c:v>5.0333101808829568</c:v>
                </c:pt>
                <c:pt idx="2">
                  <c:v>6.2220931573686062</c:v>
                </c:pt>
                <c:pt idx="3">
                  <c:v>7.5497993765879503</c:v>
                </c:pt>
                <c:pt idx="4">
                  <c:v>8.9290630040445826</c:v>
                </c:pt>
                <c:pt idx="6">
                  <c:v>4.0841475475582119</c:v>
                </c:pt>
                <c:pt idx="7">
                  <c:v>4.7111154919148301</c:v>
                </c:pt>
                <c:pt idx="8">
                  <c:v>5.5215709229946084</c:v>
                </c:pt>
                <c:pt idx="9">
                  <c:v>6.3668104722109442</c:v>
                </c:pt>
                <c:pt idx="10">
                  <c:v>7.1311110862693727</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0.4643495748988149</c:v>
                </c:pt>
                <c:pt idx="1">
                  <c:v>0.47422076907554611</c:v>
                </c:pt>
                <c:pt idx="2">
                  <c:v>0.51747662378236725</c:v>
                </c:pt>
                <c:pt idx="3">
                  <c:v>0.56420130268307567</c:v>
                </c:pt>
                <c:pt idx="4">
                  <c:v>0.599301409057033</c:v>
                </c:pt>
                <c:pt idx="6">
                  <c:v>0.4643495748988149</c:v>
                </c:pt>
                <c:pt idx="7">
                  <c:v>0.47422076907554611</c:v>
                </c:pt>
                <c:pt idx="8">
                  <c:v>0.51747662378236725</c:v>
                </c:pt>
                <c:pt idx="9">
                  <c:v>0.56420130268307567</c:v>
                </c:pt>
                <c:pt idx="10">
                  <c:v>0.599301409057033</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7.481957561004009</c:v>
                </c:pt>
                <c:pt idx="1">
                  <c:v>8.7720904898881269</c:v>
                </c:pt>
                <c:pt idx="2">
                  <c:v>10.494984847036907</c:v>
                </c:pt>
                <c:pt idx="3">
                  <c:v>12.405061484363996</c:v>
                </c:pt>
                <c:pt idx="4">
                  <c:v>14.379390277850389</c:v>
                </c:pt>
                <c:pt idx="6">
                  <c:v>7.481957561004009</c:v>
                </c:pt>
                <c:pt idx="7">
                  <c:v>8.354240178338193</c:v>
                </c:pt>
                <c:pt idx="8">
                  <c:v>9.2561254271983788</c:v>
                </c:pt>
                <c:pt idx="9">
                  <c:v>10.185466268247042</c:v>
                </c:pt>
                <c:pt idx="10">
                  <c:v>11.043153904529634</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137.30779618349712</c:v>
                </c:pt>
                <c:pt idx="1">
                  <c:v>153.45794269445378</c:v>
                </c:pt>
                <c:pt idx="2">
                  <c:v>167.10080979836127</c:v>
                </c:pt>
                <c:pt idx="3">
                  <c:v>180.86377965364096</c:v>
                </c:pt>
                <c:pt idx="4">
                  <c:v>191.22493523075966</c:v>
                </c:pt>
                <c:pt idx="6">
                  <c:v>141.08279293715427</c:v>
                </c:pt>
                <c:pt idx="7">
                  <c:v>146.14811737532312</c:v>
                </c:pt>
                <c:pt idx="8">
                  <c:v>147.37573012473092</c:v>
                </c:pt>
                <c:pt idx="9">
                  <c:v>148.50244225970266</c:v>
                </c:pt>
                <c:pt idx="10">
                  <c:v>146.85785345084028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0.23510178465639808</c:v>
                </c:pt>
                <c:pt idx="8">
                  <c:v>0.21748384466870921</c:v>
                </c:pt>
                <c:pt idx="9">
                  <c:v>0.20118614905884774</c:v>
                </c:pt>
                <c:pt idx="10">
                  <c:v>0.18610976201375035</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0.7448982153436019</c:v>
                </c:pt>
                <c:pt idx="8">
                  <c:v>0.71251615533129076</c:v>
                </c:pt>
                <c:pt idx="9">
                  <c:v>0.64881385094115229</c:v>
                </c:pt>
                <c:pt idx="10">
                  <c:v>0.5638902379862496</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0.44338804780876495</c:v>
                </c:pt>
                <c:pt idx="1">
                  <c:v>0.44338804780876495</c:v>
                </c:pt>
                <c:pt idx="2">
                  <c:v>0.44338804780876495</c:v>
                </c:pt>
                <c:pt idx="3">
                  <c:v>0.44338804780876495</c:v>
                </c:pt>
                <c:pt idx="4">
                  <c:v>0.44338804780876495</c:v>
                </c:pt>
                <c:pt idx="6">
                  <c:v>0.44338804780876495</c:v>
                </c:pt>
                <c:pt idx="7">
                  <c:v>0.41016165597609561</c:v>
                </c:pt>
                <c:pt idx="8">
                  <c:v>0.37942516688138678</c:v>
                </c:pt>
                <c:pt idx="9">
                  <c:v>0.3509919934382128</c:v>
                </c:pt>
                <c:pt idx="10">
                  <c:v>0.32468953092993674</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0.54461195219123504</c:v>
                </c:pt>
                <c:pt idx="1">
                  <c:v>0.53461195219123503</c:v>
                </c:pt>
                <c:pt idx="2">
                  <c:v>0.50461195219123511</c:v>
                </c:pt>
                <c:pt idx="3">
                  <c:v>0.45461195219123507</c:v>
                </c:pt>
                <c:pt idx="4">
                  <c:v>0.40461195219123502</c:v>
                </c:pt>
                <c:pt idx="6">
                  <c:v>0.54461195219123504</c:v>
                </c:pt>
                <c:pt idx="7">
                  <c:v>0.56783834402390432</c:v>
                </c:pt>
                <c:pt idx="8">
                  <c:v>0.54057483311861321</c:v>
                </c:pt>
                <c:pt idx="9">
                  <c:v>0.47900800656178721</c:v>
                </c:pt>
                <c:pt idx="10">
                  <c:v>0.39531046907006329</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0.68244225932944669</c:v>
                </c:pt>
                <c:pt idx="1">
                  <c:v>0.69311466434999935</c:v>
                </c:pt>
                <c:pt idx="2">
                  <c:v>0.69495747256963458</c:v>
                </c:pt>
                <c:pt idx="3">
                  <c:v>0.695195729254247</c:v>
                </c:pt>
                <c:pt idx="4">
                  <c:v>0.69783303247110451</c:v>
                </c:pt>
                <c:pt idx="6">
                  <c:v>0.68244225932944669</c:v>
                </c:pt>
                <c:pt idx="7">
                  <c:v>0.64791494627149726</c:v>
                </c:pt>
                <c:pt idx="8">
                  <c:v>0.61513449945857379</c:v>
                </c:pt>
                <c:pt idx="9">
                  <c:v>0.58401253837659128</c:v>
                </c:pt>
                <c:pt idx="10">
                  <c:v>0.5544651540131007</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0.31255774067055331</c:v>
                </c:pt>
                <c:pt idx="1">
                  <c:v>0.28188533565000062</c:v>
                </c:pt>
                <c:pt idx="2">
                  <c:v>0.27004252743036539</c:v>
                </c:pt>
                <c:pt idx="3">
                  <c:v>0.26480427074575297</c:v>
                </c:pt>
                <c:pt idx="4">
                  <c:v>0.25716696752889545</c:v>
                </c:pt>
                <c:pt idx="6" formatCode="0%">
                  <c:v>0.31255774067055331</c:v>
                </c:pt>
                <c:pt idx="7">
                  <c:v>0.32708505372850272</c:v>
                </c:pt>
                <c:pt idx="8">
                  <c:v>0.34486550054142617</c:v>
                </c:pt>
                <c:pt idx="9">
                  <c:v>0.33598746162340865</c:v>
                </c:pt>
                <c:pt idx="10">
                  <c:v>0.29553484598689927</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87.436118489606955</c:v>
                </c:pt>
                <c:pt idx="1">
                  <c:v>88.690745659737829</c:v>
                </c:pt>
                <c:pt idx="2">
                  <c:v>89.945372829868916</c:v>
                </c:pt>
                <c:pt idx="3">
                  <c:v>91.2</c:v>
                </c:pt>
                <c:pt idx="4">
                  <c:v>92.44</c:v>
                </c:pt>
                <c:pt idx="5">
                  <c:v>93.68</c:v>
                </c:pt>
                <c:pt idx="6">
                  <c:v>94.920000000000016</c:v>
                </c:pt>
                <c:pt idx="7">
                  <c:v>96.160000000000025</c:v>
                </c:pt>
                <c:pt idx="8">
                  <c:v>93.68</c:v>
                </c:pt>
                <c:pt idx="9">
                  <c:v>93.721288102870531</c:v>
                </c:pt>
                <c:pt idx="10">
                  <c:v>93.762576205741055</c:v>
                </c:pt>
                <c:pt idx="11">
                  <c:v>93.80386430861158</c:v>
                </c:pt>
                <c:pt idx="12">
                  <c:v>93.845152411482104</c:v>
                </c:pt>
                <c:pt idx="13">
                  <c:v>93.886440514352628</c:v>
                </c:pt>
                <c:pt idx="14">
                  <c:v>93.927728617223153</c:v>
                </c:pt>
                <c:pt idx="15">
                  <c:v>93.969016720093677</c:v>
                </c:pt>
                <c:pt idx="16">
                  <c:v>94.010304822964201</c:v>
                </c:pt>
                <c:pt idx="17">
                  <c:v>94.051592925834726</c:v>
                </c:pt>
                <c:pt idx="18">
                  <c:v>93.803864308611566</c:v>
                </c:pt>
                <c:pt idx="19">
                  <c:v>95.676061294162153</c:v>
                </c:pt>
                <c:pt idx="20">
                  <c:v>97.548258279712741</c:v>
                </c:pt>
                <c:pt idx="21">
                  <c:v>99.420455265263328</c:v>
                </c:pt>
                <c:pt idx="22">
                  <c:v>101.29265225081392</c:v>
                </c:pt>
                <c:pt idx="23">
                  <c:v>103.1648492363645</c:v>
                </c:pt>
                <c:pt idx="24">
                  <c:v>105.03704622191509</c:v>
                </c:pt>
                <c:pt idx="25">
                  <c:v>106.90924320746568</c:v>
                </c:pt>
                <c:pt idx="26">
                  <c:v>108.78144019301627</c:v>
                </c:pt>
                <c:pt idx="27">
                  <c:v>110.65363717856685</c:v>
                </c:pt>
                <c:pt idx="28">
                  <c:v>112.52583416411741</c:v>
                </c:pt>
                <c:pt idx="29">
                  <c:v>122.91397599932131</c:v>
                </c:pt>
                <c:pt idx="30">
                  <c:v>133.30211783452521</c:v>
                </c:pt>
                <c:pt idx="31">
                  <c:v>133.30211783452521</c:v>
                </c:pt>
                <c:pt idx="32">
                  <c:v>133.30211783452521</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10.045687245472017</c:v>
                </c:pt>
                <c:pt idx="1">
                  <c:v>11.468606546014028</c:v>
                </c:pt>
                <c:pt idx="2">
                  <c:v>12.891525846556059</c:v>
                </c:pt>
                <c:pt idx="3">
                  <c:v>14.314445147098091</c:v>
                </c:pt>
                <c:pt idx="4">
                  <c:v>15.854410734058231</c:v>
                </c:pt>
                <c:pt idx="5">
                  <c:v>17.39437632101837</c:v>
                </c:pt>
                <c:pt idx="6">
                  <c:v>18.93434190797851</c:v>
                </c:pt>
                <c:pt idx="7">
                  <c:v>20.47430749493865</c:v>
                </c:pt>
                <c:pt idx="8">
                  <c:v>17.39437632101837</c:v>
                </c:pt>
                <c:pt idx="9">
                  <c:v>15.186483467637832</c:v>
                </c:pt>
                <c:pt idx="10">
                  <c:v>12.978590614257293</c:v>
                </c:pt>
                <c:pt idx="11">
                  <c:v>10.770697760876754</c:v>
                </c:pt>
                <c:pt idx="12">
                  <c:v>8.5628049074962149</c:v>
                </c:pt>
                <c:pt idx="13">
                  <c:v>6.3549120541156761</c:v>
                </c:pt>
                <c:pt idx="14">
                  <c:v>4.1470192007351372</c:v>
                </c:pt>
                <c:pt idx="15">
                  <c:v>1.9391263473545979</c:v>
                </c:pt>
                <c:pt idx="16">
                  <c:v>-0.26876650602594143</c:v>
                </c:pt>
                <c:pt idx="17">
                  <c:v>-2.4766593594064807</c:v>
                </c:pt>
                <c:pt idx="18">
                  <c:v>10.770697760876752</c:v>
                </c:pt>
                <c:pt idx="19">
                  <c:v>10.985666174265866</c:v>
                </c:pt>
                <c:pt idx="20">
                  <c:v>11.20063458765498</c:v>
                </c:pt>
                <c:pt idx="21">
                  <c:v>11.415603001044094</c:v>
                </c:pt>
                <c:pt idx="22">
                  <c:v>11.630571414433208</c:v>
                </c:pt>
                <c:pt idx="23">
                  <c:v>11.845539827822321</c:v>
                </c:pt>
                <c:pt idx="24">
                  <c:v>12.060508241211435</c:v>
                </c:pt>
                <c:pt idx="25">
                  <c:v>12.275476654600549</c:v>
                </c:pt>
                <c:pt idx="26">
                  <c:v>12.490445067989663</c:v>
                </c:pt>
                <c:pt idx="27">
                  <c:v>12.705413481378777</c:v>
                </c:pt>
                <c:pt idx="28">
                  <c:v>12.920381894767884</c:v>
                </c:pt>
                <c:pt idx="29">
                  <c:v>14.113163629601265</c:v>
                </c:pt>
                <c:pt idx="30">
                  <c:v>15.305945364434647</c:v>
                </c:pt>
                <c:pt idx="31">
                  <c:v>15.305945364434647</c:v>
                </c:pt>
                <c:pt idx="32">
                  <c:v>15.305945364434647</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4.788655061211033</c:v>
                </c:pt>
                <c:pt idx="1">
                  <c:v>4.4924367074740132</c:v>
                </c:pt>
                <c:pt idx="2">
                  <c:v>4.1962183537370059</c:v>
                </c:pt>
                <c:pt idx="3">
                  <c:v>3.9</c:v>
                </c:pt>
                <c:pt idx="4">
                  <c:v>3.6673978942403949</c:v>
                </c:pt>
                <c:pt idx="5">
                  <c:v>3.4347957884807903</c:v>
                </c:pt>
                <c:pt idx="6">
                  <c:v>3.2021936827211857</c:v>
                </c:pt>
                <c:pt idx="7">
                  <c:v>2.969591576961581</c:v>
                </c:pt>
                <c:pt idx="8">
                  <c:v>3.4347957884807903</c:v>
                </c:pt>
                <c:pt idx="9">
                  <c:v>3.5137193005772782</c:v>
                </c:pt>
                <c:pt idx="10">
                  <c:v>3.5926428126737662</c:v>
                </c:pt>
                <c:pt idx="11">
                  <c:v>3.6715663247702541</c:v>
                </c:pt>
                <c:pt idx="12">
                  <c:v>3.7504898368667421</c:v>
                </c:pt>
                <c:pt idx="13">
                  <c:v>3.82941334896323</c:v>
                </c:pt>
                <c:pt idx="14">
                  <c:v>3.908336861059718</c:v>
                </c:pt>
                <c:pt idx="15">
                  <c:v>3.987260373156206</c:v>
                </c:pt>
                <c:pt idx="16">
                  <c:v>4.0661838852526939</c:v>
                </c:pt>
                <c:pt idx="17">
                  <c:v>4.1451073973491823</c:v>
                </c:pt>
                <c:pt idx="18">
                  <c:v>3.6715663247702541</c:v>
                </c:pt>
                <c:pt idx="19">
                  <c:v>3.7448457728628082</c:v>
                </c:pt>
                <c:pt idx="20">
                  <c:v>3.8181252209553627</c:v>
                </c:pt>
                <c:pt idx="21">
                  <c:v>3.8914046690479172</c:v>
                </c:pt>
                <c:pt idx="22">
                  <c:v>3.9646841171404716</c:v>
                </c:pt>
                <c:pt idx="23">
                  <c:v>4.0379635652330261</c:v>
                </c:pt>
                <c:pt idx="24">
                  <c:v>4.1112430133255806</c:v>
                </c:pt>
                <c:pt idx="25">
                  <c:v>4.1845224614181351</c:v>
                </c:pt>
                <c:pt idx="26">
                  <c:v>4.2578019095106896</c:v>
                </c:pt>
                <c:pt idx="27">
                  <c:v>4.3310813576032441</c:v>
                </c:pt>
                <c:pt idx="28">
                  <c:v>4.4043608056957968</c:v>
                </c:pt>
                <c:pt idx="29">
                  <c:v>4.8109618771995244</c:v>
                </c:pt>
                <c:pt idx="30">
                  <c:v>5.217562948703252</c:v>
                </c:pt>
                <c:pt idx="31">
                  <c:v>5.217562948703252</c:v>
                </c:pt>
                <c:pt idx="32">
                  <c:v>5.217562948703252</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0.61799148971759088</c:v>
                </c:pt>
                <c:pt idx="1">
                  <c:v>0.6286609931450593</c:v>
                </c:pt>
                <c:pt idx="2">
                  <c:v>0.63933049657252961</c:v>
                </c:pt>
                <c:pt idx="3">
                  <c:v>0.65</c:v>
                </c:pt>
                <c:pt idx="4">
                  <c:v>0.66077214814486951</c:v>
                </c:pt>
                <c:pt idx="5">
                  <c:v>0.671544296289739</c:v>
                </c:pt>
                <c:pt idx="6">
                  <c:v>0.68231644443460848</c:v>
                </c:pt>
                <c:pt idx="7">
                  <c:v>0.69308859257947797</c:v>
                </c:pt>
                <c:pt idx="8">
                  <c:v>0.671544296289739</c:v>
                </c:pt>
                <c:pt idx="9">
                  <c:v>0.6791310931208675</c:v>
                </c:pt>
                <c:pt idx="10">
                  <c:v>0.68671788995199601</c:v>
                </c:pt>
                <c:pt idx="11">
                  <c:v>0.69430468678312451</c:v>
                </c:pt>
                <c:pt idx="12">
                  <c:v>0.70189148361425302</c:v>
                </c:pt>
                <c:pt idx="13">
                  <c:v>0.70947828044538153</c:v>
                </c:pt>
                <c:pt idx="14">
                  <c:v>0.71706507727651003</c:v>
                </c:pt>
                <c:pt idx="15">
                  <c:v>0.72465187410763854</c:v>
                </c:pt>
                <c:pt idx="16">
                  <c:v>0.73223867093876704</c:v>
                </c:pt>
                <c:pt idx="17">
                  <c:v>0.73982546776989555</c:v>
                </c:pt>
                <c:pt idx="18">
                  <c:v>0.69430468678312451</c:v>
                </c:pt>
                <c:pt idx="19">
                  <c:v>0.71587654160202607</c:v>
                </c:pt>
                <c:pt idx="20">
                  <c:v>0.73744839642092763</c:v>
                </c:pt>
                <c:pt idx="21">
                  <c:v>0.75902025123982919</c:v>
                </c:pt>
                <c:pt idx="22">
                  <c:v>0.78059210605873075</c:v>
                </c:pt>
                <c:pt idx="23">
                  <c:v>0.80216396087763231</c:v>
                </c:pt>
                <c:pt idx="24">
                  <c:v>0.82373581569653387</c:v>
                </c:pt>
                <c:pt idx="25">
                  <c:v>0.84530767051543543</c:v>
                </c:pt>
                <c:pt idx="26">
                  <c:v>0.86687952533433699</c:v>
                </c:pt>
                <c:pt idx="27">
                  <c:v>0.88845138015323855</c:v>
                </c:pt>
                <c:pt idx="28">
                  <c:v>0.9100232349721401</c:v>
                </c:pt>
                <c:pt idx="29">
                  <c:v>0.85532990423306221</c:v>
                </c:pt>
                <c:pt idx="30">
                  <c:v>0.8006365734939842</c:v>
                </c:pt>
                <c:pt idx="31">
                  <c:v>0.8006365734939842</c:v>
                </c:pt>
                <c:pt idx="32">
                  <c:v>0.8006365734939842</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6.8173364530273304</c:v>
                </c:pt>
                <c:pt idx="2">
                  <c:v>6.8586682265136654</c:v>
                </c:pt>
                <c:pt idx="3">
                  <c:v>6.9</c:v>
                </c:pt>
                <c:pt idx="4">
                  <c:v>7.0212765000000008</c:v>
                </c:pt>
                <c:pt idx="5">
                  <c:v>7.1425530000000013</c:v>
                </c:pt>
                <c:pt idx="6">
                  <c:v>7.2638295000000017</c:v>
                </c:pt>
                <c:pt idx="7">
                  <c:v>7.3851060000000022</c:v>
                </c:pt>
                <c:pt idx="8">
                  <c:v>7.1425530000000004</c:v>
                </c:pt>
                <c:pt idx="9">
                  <c:v>7.1951213423939748</c:v>
                </c:pt>
                <c:pt idx="10">
                  <c:v>7.2476896847879493</c:v>
                </c:pt>
                <c:pt idx="11">
                  <c:v>7.3002580271819237</c:v>
                </c:pt>
                <c:pt idx="12">
                  <c:v>7.3528263695758982</c:v>
                </c:pt>
                <c:pt idx="13">
                  <c:v>7.4053947119698726</c:v>
                </c:pt>
                <c:pt idx="14">
                  <c:v>7.4579630543638471</c:v>
                </c:pt>
                <c:pt idx="15">
                  <c:v>7.5105313967578216</c:v>
                </c:pt>
                <c:pt idx="16">
                  <c:v>7.563099739151796</c:v>
                </c:pt>
                <c:pt idx="17">
                  <c:v>7.6156680815457705</c:v>
                </c:pt>
                <c:pt idx="18">
                  <c:v>7.3002580271819228</c:v>
                </c:pt>
                <c:pt idx="19">
                  <c:v>7.3229739180353288</c:v>
                </c:pt>
                <c:pt idx="20">
                  <c:v>7.3456898088887348</c:v>
                </c:pt>
                <c:pt idx="21">
                  <c:v>7.3684056997421408</c:v>
                </c:pt>
                <c:pt idx="22">
                  <c:v>7.3911215905955467</c:v>
                </c:pt>
                <c:pt idx="23">
                  <c:v>7.4138374814489527</c:v>
                </c:pt>
                <c:pt idx="24">
                  <c:v>7.4365533723023587</c:v>
                </c:pt>
                <c:pt idx="25">
                  <c:v>7.4592692631557647</c:v>
                </c:pt>
                <c:pt idx="26">
                  <c:v>7.4819851540091706</c:v>
                </c:pt>
                <c:pt idx="27">
                  <c:v>7.5047010448625766</c:v>
                </c:pt>
                <c:pt idx="28">
                  <c:v>7.5274169357159861</c:v>
                </c:pt>
                <c:pt idx="29">
                  <c:v>7.545751554092571</c:v>
                </c:pt>
                <c:pt idx="30">
                  <c:v>7.5640861724691559</c:v>
                </c:pt>
                <c:pt idx="31">
                  <c:v>7.5640861724691559</c:v>
                </c:pt>
                <c:pt idx="32">
                  <c:v>7.5640861724691559</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2.3283952202556055E-2</c:v>
                </c:pt>
                <c:pt idx="2">
                  <c:v>2.3660983976108128E-2</c:v>
                </c:pt>
                <c:pt idx="3">
                  <c:v>2.4038015749660205E-2</c:v>
                </c:pt>
                <c:pt idx="4">
                  <c:v>2.4436702510710735E-2</c:v>
                </c:pt>
                <c:pt idx="5">
                  <c:v>2.4835389271761266E-2</c:v>
                </c:pt>
                <c:pt idx="6">
                  <c:v>2.5234076032811796E-2</c:v>
                </c:pt>
                <c:pt idx="7">
                  <c:v>2.5632762793862326E-2</c:v>
                </c:pt>
                <c:pt idx="8">
                  <c:v>2.4835389271761269E-2</c:v>
                </c:pt>
                <c:pt idx="9">
                  <c:v>8.9559578034404161E-2</c:v>
                </c:pt>
                <c:pt idx="10">
                  <c:v>0.15428376679704706</c:v>
                </c:pt>
                <c:pt idx="11">
                  <c:v>0.21900795555968994</c:v>
                </c:pt>
                <c:pt idx="12">
                  <c:v>0.28373214432233285</c:v>
                </c:pt>
                <c:pt idx="13">
                  <c:v>0.34845633308497576</c:v>
                </c:pt>
                <c:pt idx="14">
                  <c:v>0.41318052184761866</c:v>
                </c:pt>
                <c:pt idx="15">
                  <c:v>0.47790471061026157</c:v>
                </c:pt>
                <c:pt idx="16">
                  <c:v>0.54262889937290448</c:v>
                </c:pt>
                <c:pt idx="17">
                  <c:v>0.60735308813554734</c:v>
                </c:pt>
                <c:pt idx="18">
                  <c:v>0.21900795555968994</c:v>
                </c:pt>
                <c:pt idx="19">
                  <c:v>0.25002995445579612</c:v>
                </c:pt>
                <c:pt idx="20">
                  <c:v>0.28105195335190225</c:v>
                </c:pt>
                <c:pt idx="21">
                  <c:v>0.31207395224800838</c:v>
                </c:pt>
                <c:pt idx="22">
                  <c:v>0.34309595114411451</c:v>
                </c:pt>
                <c:pt idx="23">
                  <c:v>0.37411795004022064</c:v>
                </c:pt>
                <c:pt idx="24">
                  <c:v>0.40513994893632677</c:v>
                </c:pt>
                <c:pt idx="25">
                  <c:v>0.43616194783243289</c:v>
                </c:pt>
                <c:pt idx="26">
                  <c:v>0.46718394672853902</c:v>
                </c:pt>
                <c:pt idx="27">
                  <c:v>0.49820594562464515</c:v>
                </c:pt>
                <c:pt idx="28">
                  <c:v>0.5292279445207515</c:v>
                </c:pt>
                <c:pt idx="29">
                  <c:v>0.77659340774482299</c:v>
                </c:pt>
                <c:pt idx="30">
                  <c:v>1.0239588709688945</c:v>
                </c:pt>
                <c:pt idx="31">
                  <c:v>1.0239588709688945</c:v>
                </c:pt>
                <c:pt idx="32">
                  <c:v>1.0239588709688945</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16.86316604698926</c:v>
                </c:pt>
                <c:pt idx="2">
                  <c:v>17.250013690163964</c:v>
                </c:pt>
                <c:pt idx="3">
                  <c:v>17.636861333338672</c:v>
                </c:pt>
                <c:pt idx="4">
                  <c:v>17.730412645510775</c:v>
                </c:pt>
                <c:pt idx="5">
                  <c:v>17.823963957682878</c:v>
                </c:pt>
                <c:pt idx="6">
                  <c:v>17.917515269854981</c:v>
                </c:pt>
                <c:pt idx="7">
                  <c:v>18.011066582027084</c:v>
                </c:pt>
                <c:pt idx="8">
                  <c:v>17.823963957682881</c:v>
                </c:pt>
                <c:pt idx="9">
                  <c:v>17.799668052611267</c:v>
                </c:pt>
                <c:pt idx="10">
                  <c:v>17.775372147539652</c:v>
                </c:pt>
                <c:pt idx="11">
                  <c:v>17.751076242468038</c:v>
                </c:pt>
                <c:pt idx="12">
                  <c:v>17.726780337396423</c:v>
                </c:pt>
                <c:pt idx="13">
                  <c:v>17.702484432324809</c:v>
                </c:pt>
                <c:pt idx="14">
                  <c:v>17.678188527253194</c:v>
                </c:pt>
                <c:pt idx="15">
                  <c:v>17.65389262218158</c:v>
                </c:pt>
                <c:pt idx="16">
                  <c:v>17.629596717109965</c:v>
                </c:pt>
                <c:pt idx="17">
                  <c:v>17.605300812038351</c:v>
                </c:pt>
                <c:pt idx="18">
                  <c:v>17.751076242468041</c:v>
                </c:pt>
                <c:pt idx="19">
                  <c:v>17.321026044471083</c:v>
                </c:pt>
                <c:pt idx="20">
                  <c:v>16.890975846474124</c:v>
                </c:pt>
                <c:pt idx="21">
                  <c:v>16.460925648477165</c:v>
                </c:pt>
                <c:pt idx="22">
                  <c:v>16.030875450480206</c:v>
                </c:pt>
                <c:pt idx="23">
                  <c:v>15.600825252483247</c:v>
                </c:pt>
                <c:pt idx="24">
                  <c:v>15.170775054486288</c:v>
                </c:pt>
                <c:pt idx="25">
                  <c:v>14.740724856489329</c:v>
                </c:pt>
                <c:pt idx="26">
                  <c:v>14.310674658492371</c:v>
                </c:pt>
                <c:pt idx="27">
                  <c:v>13.880624460495412</c:v>
                </c:pt>
                <c:pt idx="28">
                  <c:v>13.450574262498447</c:v>
                </c:pt>
                <c:pt idx="29">
                  <c:v>14.906083112306032</c:v>
                </c:pt>
                <c:pt idx="30">
                  <c:v>16.361591962113614</c:v>
                </c:pt>
                <c:pt idx="31">
                  <c:v>16.361591962113614</c:v>
                </c:pt>
                <c:pt idx="32">
                  <c:v>16.361591962113614</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0.63281099662838625</c:v>
                </c:pt>
                <c:pt idx="2">
                  <c:v>0.64590377975103752</c:v>
                </c:pt>
                <c:pt idx="3">
                  <c:v>0.65899656287368868</c:v>
                </c:pt>
                <c:pt idx="4">
                  <c:v>0.67325785334021937</c:v>
                </c:pt>
                <c:pt idx="5">
                  <c:v>0.68751914380675005</c:v>
                </c:pt>
                <c:pt idx="6">
                  <c:v>0.70178043427328074</c:v>
                </c:pt>
                <c:pt idx="7">
                  <c:v>0.71604172473981142</c:v>
                </c:pt>
                <c:pt idx="8">
                  <c:v>0.68751914380675005</c:v>
                </c:pt>
                <c:pt idx="9">
                  <c:v>0.70215548856734533</c:v>
                </c:pt>
                <c:pt idx="10">
                  <c:v>0.71679183332794061</c:v>
                </c:pt>
                <c:pt idx="11">
                  <c:v>0.73142817808853589</c:v>
                </c:pt>
                <c:pt idx="12">
                  <c:v>0.74606452284913116</c:v>
                </c:pt>
                <c:pt idx="13">
                  <c:v>0.76070086760972644</c:v>
                </c:pt>
                <c:pt idx="14">
                  <c:v>0.77533721237032172</c:v>
                </c:pt>
                <c:pt idx="15">
                  <c:v>0.78997355713091699</c:v>
                </c:pt>
                <c:pt idx="16">
                  <c:v>0.80460990189151227</c:v>
                </c:pt>
                <c:pt idx="17">
                  <c:v>0.81924624665210755</c:v>
                </c:pt>
                <c:pt idx="18">
                  <c:v>0.73142817808853577</c:v>
                </c:pt>
                <c:pt idx="19">
                  <c:v>0.7466295991843398</c:v>
                </c:pt>
                <c:pt idx="20">
                  <c:v>0.76183102028014382</c:v>
                </c:pt>
                <c:pt idx="21">
                  <c:v>0.77703244137594785</c:v>
                </c:pt>
                <c:pt idx="22">
                  <c:v>0.79223386247175187</c:v>
                </c:pt>
                <c:pt idx="23">
                  <c:v>0.80743528356755589</c:v>
                </c:pt>
                <c:pt idx="24">
                  <c:v>0.82263670466335992</c:v>
                </c:pt>
                <c:pt idx="25">
                  <c:v>0.83783812575916394</c:v>
                </c:pt>
                <c:pt idx="26">
                  <c:v>0.85303954685496797</c:v>
                </c:pt>
                <c:pt idx="27">
                  <c:v>0.86824096795077199</c:v>
                </c:pt>
                <c:pt idx="28">
                  <c:v>0.88344238904657568</c:v>
                </c:pt>
                <c:pt idx="29">
                  <c:v>0.96854265888849567</c:v>
                </c:pt>
                <c:pt idx="30">
                  <c:v>1.0536429287304157</c:v>
                </c:pt>
                <c:pt idx="31">
                  <c:v>1.0536429287304157</c:v>
                </c:pt>
                <c:pt idx="32">
                  <c:v>1.0536429287304157</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4.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5.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25.xml"/><Relationship Id="rId13" Type="http://schemas.openxmlformats.org/officeDocument/2006/relationships/chart" Target="../charts/chart30.xml"/><Relationship Id="rId3" Type="http://schemas.openxmlformats.org/officeDocument/2006/relationships/chart" Target="../charts/chart20.xml"/><Relationship Id="rId7" Type="http://schemas.openxmlformats.org/officeDocument/2006/relationships/chart" Target="../charts/chart24.xml"/><Relationship Id="rId12" Type="http://schemas.openxmlformats.org/officeDocument/2006/relationships/chart" Target="../charts/chart29.xml"/><Relationship Id="rId2" Type="http://schemas.openxmlformats.org/officeDocument/2006/relationships/chart" Target="../charts/chart19.xml"/><Relationship Id="rId16" Type="http://schemas.openxmlformats.org/officeDocument/2006/relationships/image" Target="../media/image19.emf"/><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chart" Target="../charts/chart28.xml"/><Relationship Id="rId5" Type="http://schemas.openxmlformats.org/officeDocument/2006/relationships/chart" Target="../charts/chart22.xml"/><Relationship Id="rId15" Type="http://schemas.openxmlformats.org/officeDocument/2006/relationships/chart" Target="../charts/chart3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 Id="rId1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17</xdr:col>
      <xdr:colOff>114300</xdr:colOff>
      <xdr:row>22</xdr:row>
      <xdr:rowOff>71437</xdr:rowOff>
    </xdr:from>
    <xdr:to>
      <xdr:col>24</xdr:col>
      <xdr:colOff>552450</xdr:colOff>
      <xdr:row>36</xdr:row>
      <xdr:rowOff>147637</xdr:rowOff>
    </xdr:to>
    <xdr:graphicFrame macro="">
      <xdr:nvGraphicFramePr>
        <xdr:cNvPr id="3" name="Chart 2">
          <a:extLst>
            <a:ext uri="{FF2B5EF4-FFF2-40B4-BE49-F238E27FC236}">
              <a16:creationId xmlns:a16="http://schemas.microsoft.com/office/drawing/2014/main" id="{99968DB2-4C69-4387-B68E-2A6884D2B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481541</xdr:colOff>
      <xdr:row>58</xdr:row>
      <xdr:rowOff>101952</xdr:rowOff>
    </xdr:from>
    <xdr:to>
      <xdr:col>10</xdr:col>
      <xdr:colOff>179563</xdr:colOff>
      <xdr:row>73</xdr:row>
      <xdr:rowOff>82903</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42</xdr:row>
      <xdr:rowOff>180975</xdr:rowOff>
    </xdr:from>
    <xdr:to>
      <xdr:col>7</xdr:col>
      <xdr:colOff>304800</xdr:colOff>
      <xdr:row>57</xdr:row>
      <xdr:rowOff>161925</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292454</xdr:colOff>
      <xdr:row>86</xdr:row>
      <xdr:rowOff>98779</xdr:rowOff>
    </xdr:from>
    <xdr:to>
      <xdr:col>21</xdr:col>
      <xdr:colOff>197557</xdr:colOff>
      <xdr:row>108</xdr:row>
      <xdr:rowOff>156281</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84</xdr:row>
      <xdr:rowOff>0</xdr:rowOff>
    </xdr:from>
    <xdr:to>
      <xdr:col>31</xdr:col>
      <xdr:colOff>511880</xdr:colOff>
      <xdr:row>106</xdr:row>
      <xdr:rowOff>57502</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111</xdr:row>
      <xdr:rowOff>0</xdr:rowOff>
    </xdr:from>
    <xdr:to>
      <xdr:col>27</xdr:col>
      <xdr:colOff>511880</xdr:colOff>
      <xdr:row>133</xdr:row>
      <xdr:rowOff>57502</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93</xdr:row>
      <xdr:rowOff>3572</xdr:rowOff>
    </xdr:from>
    <xdr:to>
      <xdr:col>33</xdr:col>
      <xdr:colOff>232172</xdr:colOff>
      <xdr:row>106</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102</xdr:row>
      <xdr:rowOff>39290</xdr:rowOff>
    </xdr:from>
    <xdr:to>
      <xdr:col>33</xdr:col>
      <xdr:colOff>232172</xdr:colOff>
      <xdr:row>116</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114</xdr:row>
      <xdr:rowOff>39290</xdr:rowOff>
    </xdr:from>
    <xdr:to>
      <xdr:col>33</xdr:col>
      <xdr:colOff>232172</xdr:colOff>
      <xdr:row>128</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944D90AD-63EF-45C6-8EEE-6694ECA4A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319367</xdr:colOff>
      <xdr:row>82</xdr:row>
      <xdr:rowOff>68355</xdr:rowOff>
    </xdr:from>
    <xdr:to>
      <xdr:col>33</xdr:col>
      <xdr:colOff>50426</xdr:colOff>
      <xdr:row>96</xdr:row>
      <xdr:rowOff>133349</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84667</xdr:colOff>
      <xdr:row>131</xdr:row>
      <xdr:rowOff>21167</xdr:rowOff>
    </xdr:from>
    <xdr:to>
      <xdr:col>2</xdr:col>
      <xdr:colOff>4667250</xdr:colOff>
      <xdr:row>144</xdr:row>
      <xdr:rowOff>105833</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3</xdr:row>
      <xdr:rowOff>0</xdr:rowOff>
    </xdr:from>
    <xdr:to>
      <xdr:col>49</xdr:col>
      <xdr:colOff>236419</xdr:colOff>
      <xdr:row>38</xdr:row>
      <xdr:rowOff>84876</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1183600" y="581025"/>
          <a:ext cx="13647619" cy="67904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91440</xdr:colOff>
      <xdr:row>142</xdr:row>
      <xdr:rowOff>30480</xdr:rowOff>
    </xdr:from>
    <xdr:to>
      <xdr:col>46</xdr:col>
      <xdr:colOff>198120</xdr:colOff>
      <xdr:row>162</xdr:row>
      <xdr:rowOff>167640</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162</xdr:row>
      <xdr:rowOff>175260</xdr:rowOff>
    </xdr:from>
    <xdr:to>
      <xdr:col>46</xdr:col>
      <xdr:colOff>106680</xdr:colOff>
      <xdr:row>183</xdr:row>
      <xdr:rowOff>137160</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237723</xdr:colOff>
      <xdr:row>2</xdr:row>
      <xdr:rowOff>147279</xdr:rowOff>
    </xdr:from>
    <xdr:to>
      <xdr:col>30</xdr:col>
      <xdr:colOff>166967</xdr:colOff>
      <xdr:row>17</xdr:row>
      <xdr:rowOff>169865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46</xdr:col>
      <xdr:colOff>190500</xdr:colOff>
      <xdr:row>162</xdr:row>
      <xdr:rowOff>54428</xdr:rowOff>
    </xdr:from>
    <xdr:to>
      <xdr:col>56</xdr:col>
      <xdr:colOff>535098</xdr:colOff>
      <xdr:row>184</xdr:row>
      <xdr:rowOff>108857</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860625" y="31115453"/>
          <a:ext cx="7107348" cy="4254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s/SATIMGE_04/SATIM/DataSpreadsheets/DMD_PRJ_bm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0</v>
          </cell>
        </row>
        <row r="8">
          <cell r="C8">
            <v>0</v>
          </cell>
        </row>
        <row r="9">
          <cell r="C9">
            <v>1</v>
          </cell>
        </row>
        <row r="10">
          <cell r="C10">
            <v>0</v>
          </cell>
        </row>
        <row r="11">
          <cell r="C11">
            <v>0</v>
          </cell>
        </row>
      </sheetData>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sheetName val="mileagedegrad"/>
      <sheetName val="Calib_1011"/>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7">
          <cell r="AC27">
            <v>2.5010052180158762</v>
          </cell>
        </row>
        <row r="28">
          <cell r="AC28">
            <v>3.8604597839440302</v>
          </cell>
        </row>
        <row r="29">
          <cell r="AC29">
            <v>6.0039084459078387</v>
          </cell>
        </row>
        <row r="30">
          <cell r="AC30">
            <v>7.4777222934684477</v>
          </cell>
        </row>
        <row r="31">
          <cell r="AC31">
            <v>10.302260917235891</v>
          </cell>
        </row>
        <row r="32">
          <cell r="AC32">
            <v>13.929123617232234</v>
          </cell>
        </row>
        <row r="33">
          <cell r="AC33">
            <v>17.52549021473704</v>
          </cell>
        </row>
        <row r="34">
          <cell r="AC34">
            <v>21.906335545077848</v>
          </cell>
        </row>
        <row r="35">
          <cell r="AC35">
            <v>1.4841793377794028</v>
          </cell>
        </row>
        <row r="36">
          <cell r="AC36">
            <v>0.39785406833795833</v>
          </cell>
        </row>
        <row r="71">
          <cell r="K71">
            <v>25</v>
          </cell>
          <cell r="M71">
            <v>0.12640977128296399</v>
          </cell>
        </row>
        <row r="72">
          <cell r="K72">
            <v>14</v>
          </cell>
          <cell r="M72">
            <v>0.74431502544952532</v>
          </cell>
        </row>
        <row r="73">
          <cell r="M73">
            <v>0.1292752032675106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48">
        <row r="10">
          <cell r="D10" t="str">
            <v>TPPRSUV</v>
          </cell>
          <cell r="J10">
            <v>10.045687245472017</v>
          </cell>
        </row>
        <row r="11">
          <cell r="D11" t="str">
            <v>TPPRCAR</v>
          </cell>
          <cell r="J11">
            <v>87.436118489606955</v>
          </cell>
        </row>
        <row r="12">
          <cell r="D12" t="str">
            <v>TPPRMOT</v>
          </cell>
          <cell r="J12">
            <v>4.788655061211033</v>
          </cell>
        </row>
        <row r="13">
          <cell r="D13" t="str">
            <v>TPPUBUS</v>
          </cell>
          <cell r="J13">
            <v>0.61799148971759088</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25.099999999999998</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2.1423460006713867E-2</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9.5227140641133712</v>
          </cell>
        </row>
        <row r="13">
          <cell r="J13">
            <v>4.8851919315217742</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6">
          <cell r="J26">
            <v>1</v>
          </cell>
        </row>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0.63970000000000005</v>
          </cell>
        </row>
        <row r="74">
          <cell r="A74" t="str">
            <v/>
          </cell>
          <cell r="D74" t="str">
            <v>ICPA</v>
          </cell>
          <cell r="J74">
            <v>0.2086787369811067</v>
          </cell>
          <cell r="O74">
            <v>0.2398875</v>
          </cell>
        </row>
        <row r="75">
          <cell r="A75" t="str">
            <v/>
          </cell>
          <cell r="D75" t="str">
            <v>ICPL</v>
          </cell>
          <cell r="J75">
            <v>0.3338859791697707</v>
          </cell>
          <cell r="O75">
            <v>0.38381999999999999</v>
          </cell>
        </row>
        <row r="76">
          <cell r="A76" t="str">
            <v/>
          </cell>
          <cell r="D76" t="str">
            <v>ICPC</v>
          </cell>
          <cell r="J76">
            <v>2.7823831597480893</v>
          </cell>
          <cell r="O76">
            <v>3.1985000000000001</v>
          </cell>
        </row>
        <row r="77">
          <cell r="A77" t="str">
            <v/>
          </cell>
          <cell r="D77" t="str">
            <v>ICPH</v>
          </cell>
          <cell r="J77">
            <v>0.5008289687546561</v>
          </cell>
          <cell r="O77">
            <v>0.57573000000000008</v>
          </cell>
        </row>
        <row r="78">
          <cell r="A78" t="str">
            <v/>
          </cell>
          <cell r="D78" t="str">
            <v>ICPP</v>
          </cell>
          <cell r="J78">
            <v>7.7906728472946494</v>
          </cell>
          <cell r="O78">
            <v>8.9558</v>
          </cell>
        </row>
        <row r="79">
          <cell r="A79" t="str">
            <v/>
          </cell>
          <cell r="D79" t="str">
            <v>ICPF</v>
          </cell>
          <cell r="J79">
            <v>1.7807252222387775</v>
          </cell>
          <cell r="O79">
            <v>2.0470400000000004</v>
          </cell>
        </row>
        <row r="80">
          <cell r="A80" t="str">
            <v/>
          </cell>
          <cell r="D80" t="str">
            <v>ICPO</v>
          </cell>
          <cell r="J80">
            <v>4.4518130555969435</v>
          </cell>
          <cell r="O80">
            <v>5.1176000000000004</v>
          </cell>
        </row>
        <row r="81">
          <cell r="A81" t="str">
            <v/>
          </cell>
          <cell r="D81" t="str">
            <v>ICPE</v>
          </cell>
          <cell r="J81">
            <v>1.6916889611268384</v>
          </cell>
          <cell r="O81">
            <v>1.9446880000000002</v>
          </cell>
        </row>
        <row r="82">
          <cell r="A82" t="str">
            <v>*</v>
          </cell>
          <cell r="D82" t="str">
            <v xml:space="preserve"> </v>
          </cell>
          <cell r="J82" t="str">
            <v/>
          </cell>
          <cell r="O82" t="str">
            <v/>
          </cell>
        </row>
        <row r="83">
          <cell r="A83" t="str">
            <v/>
          </cell>
          <cell r="D83" t="str">
            <v>ICPS</v>
          </cell>
          <cell r="J83">
            <v>27.288197120140854</v>
          </cell>
          <cell r="O83">
            <v>20.990606000000003</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49.996000000000002</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0.54078999999999999</v>
          </cell>
        </row>
        <row r="95">
          <cell r="A95" t="str">
            <v/>
          </cell>
          <cell r="D95" t="str">
            <v>INFA</v>
          </cell>
          <cell r="J95">
            <v>0</v>
          </cell>
          <cell r="O95">
            <v>0</v>
          </cell>
        </row>
        <row r="96">
          <cell r="A96" t="str">
            <v/>
          </cell>
          <cell r="D96" t="str">
            <v>INFL</v>
          </cell>
          <cell r="J96">
            <v>0.20036876463104916</v>
          </cell>
          <cell r="O96">
            <v>0.16223699999999999</v>
          </cell>
        </row>
        <row r="97">
          <cell r="A97" t="str">
            <v/>
          </cell>
          <cell r="D97" t="str">
            <v>INFC</v>
          </cell>
          <cell r="J97">
            <v>0</v>
          </cell>
          <cell r="O97">
            <v>0</v>
          </cell>
        </row>
        <row r="98">
          <cell r="A98" t="str">
            <v/>
          </cell>
          <cell r="D98" t="str">
            <v>INFH</v>
          </cell>
          <cell r="J98">
            <v>0.60110629389314751</v>
          </cell>
          <cell r="O98">
            <v>0.486711</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3.0284240000000007</v>
          </cell>
        </row>
        <row r="102">
          <cell r="A102" t="str">
            <v/>
          </cell>
          <cell r="D102" t="str">
            <v>INFE</v>
          </cell>
          <cell r="J102">
            <v>45.684078335879221</v>
          </cell>
          <cell r="O102">
            <v>36.990036000000003</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10.669591824450372</v>
          </cell>
          <cell r="O10">
            <v>15.624611495140108</v>
          </cell>
        </row>
        <row r="11">
          <cell r="A11" t="str">
            <v/>
          </cell>
          <cell r="B11" t="str">
            <v>COM_PROJ</v>
          </cell>
          <cell r="C11" t="str">
            <v>-</v>
          </cell>
          <cell r="D11" t="str">
            <v>RLNL</v>
          </cell>
          <cell r="J11">
            <v>4.742986727829742E-2</v>
          </cell>
          <cell r="O11">
            <v>3.4736508829258959E-2</v>
          </cell>
        </row>
        <row r="12">
          <cell r="A12" t="str">
            <v/>
          </cell>
          <cell r="B12" t="str">
            <v>COM_PROJ</v>
          </cell>
          <cell r="C12" t="str">
            <v>-</v>
          </cell>
          <cell r="D12" t="str">
            <v>RLEK</v>
          </cell>
          <cell r="J12">
            <v>10.053924891431189</v>
          </cell>
          <cell r="O12">
            <v>10.376197829004896</v>
          </cell>
        </row>
        <row r="13">
          <cell r="A13" t="str">
            <v/>
          </cell>
          <cell r="B13" t="str">
            <v>COM_PROJ</v>
          </cell>
          <cell r="C13" t="str">
            <v>-</v>
          </cell>
          <cell r="D13" t="str">
            <v>RLEH</v>
          </cell>
          <cell r="J13">
            <v>14.600188686866282</v>
          </cell>
          <cell r="O13">
            <v>10.063676963743614</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5.6486911771289003</v>
          </cell>
          <cell r="O15">
            <v>6.0419731324108739</v>
          </cell>
        </row>
        <row r="16">
          <cell r="A16" t="str">
            <v/>
          </cell>
          <cell r="B16" t="str">
            <v>COM_PROJ</v>
          </cell>
          <cell r="C16" t="str">
            <v>-</v>
          </cell>
          <cell r="D16" t="str">
            <v>RLER</v>
          </cell>
          <cell r="J16">
            <v>1.2642587754949401</v>
          </cell>
          <cell r="O16">
            <v>2.0974514263269635</v>
          </cell>
        </row>
        <row r="17">
          <cell r="A17" t="str">
            <v/>
          </cell>
          <cell r="B17" t="str">
            <v>COM_PROJ</v>
          </cell>
          <cell r="C17" t="str">
            <v>-</v>
          </cell>
          <cell r="D17" t="str">
            <v>RLEO</v>
          </cell>
          <cell r="J17">
            <v>1.7509162280520163</v>
          </cell>
          <cell r="O17">
            <v>2.1590667037754754</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16.038929939348595</v>
          </cell>
          <cell r="O21">
            <v>21.869615835092201</v>
          </cell>
        </row>
        <row r="22">
          <cell r="A22" t="str">
            <v/>
          </cell>
          <cell r="B22" t="str">
            <v>COM_PROJ</v>
          </cell>
          <cell r="C22" t="str">
            <v>-</v>
          </cell>
          <cell r="D22" t="str">
            <v>RMNL</v>
          </cell>
          <cell r="J22">
            <v>3.3422499241462768E-2</v>
          </cell>
          <cell r="O22">
            <v>7.2861538397679906E-2</v>
          </cell>
        </row>
        <row r="23">
          <cell r="A23" t="str">
            <v/>
          </cell>
          <cell r="B23" t="str">
            <v>COM_PROJ</v>
          </cell>
          <cell r="C23" t="str">
            <v>-</v>
          </cell>
          <cell r="D23" t="str">
            <v>RMEK</v>
          </cell>
          <cell r="J23">
            <v>9.0435120774465076</v>
          </cell>
          <cell r="O23">
            <v>8.5871964719297598</v>
          </cell>
        </row>
        <row r="24">
          <cell r="A24" t="str">
            <v/>
          </cell>
          <cell r="B24" t="str">
            <v>COM_PROJ</v>
          </cell>
          <cell r="C24" t="str">
            <v>-</v>
          </cell>
          <cell r="D24" t="str">
            <v>RMEH</v>
          </cell>
          <cell r="J24">
            <v>13.160101387439708</v>
          </cell>
          <cell r="O24">
            <v>12.928788353321121</v>
          </cell>
        </row>
        <row r="25">
          <cell r="A25" t="str">
            <v/>
          </cell>
          <cell r="B25" t="str">
            <v>COM_PROJ</v>
          </cell>
          <cell r="C25" t="str">
            <v>-</v>
          </cell>
          <cell r="D25" t="str">
            <v>RMEWG</v>
          </cell>
          <cell r="J25">
            <v>8.7137527293210866</v>
          </cell>
          <cell r="O25">
            <v>10.067920752569469</v>
          </cell>
        </row>
        <row r="26">
          <cell r="A26" t="str">
            <v/>
          </cell>
          <cell r="B26" t="str">
            <v>COM_PROJ</v>
          </cell>
          <cell r="C26" t="str">
            <v>-</v>
          </cell>
          <cell r="D26" t="str">
            <v>RMEW</v>
          </cell>
          <cell r="J26">
            <v>6.084532675932218</v>
          </cell>
          <cell r="O26">
            <v>5.1995529751589586</v>
          </cell>
        </row>
        <row r="27">
          <cell r="A27" t="str">
            <v/>
          </cell>
          <cell r="B27" t="str">
            <v>COM_PROJ</v>
          </cell>
          <cell r="C27" t="str">
            <v>-</v>
          </cell>
          <cell r="D27" t="str">
            <v>RMER</v>
          </cell>
          <cell r="J27">
            <v>3.4675669688275099</v>
          </cell>
          <cell r="O27">
            <v>4.276779110884914</v>
          </cell>
        </row>
        <row r="28">
          <cell r="A28" t="str">
            <v/>
          </cell>
          <cell r="B28" t="str">
            <v>COM_PROJ</v>
          </cell>
          <cell r="C28" t="str">
            <v>-</v>
          </cell>
          <cell r="D28" t="str">
            <v>RMEO</v>
          </cell>
          <cell r="J28">
            <v>6.1966615637186973</v>
          </cell>
          <cell r="O28">
            <v>8.0456074017217318</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29.137979962225089</v>
          </cell>
          <cell r="O32">
            <v>37.925162890125421</v>
          </cell>
        </row>
        <row r="33">
          <cell r="A33" t="str">
            <v/>
          </cell>
          <cell r="B33" t="str">
            <v>COM_PROJ</v>
          </cell>
          <cell r="C33" t="str">
            <v>-</v>
          </cell>
          <cell r="D33" t="str">
            <v>RHEK</v>
          </cell>
          <cell r="J33">
            <v>3.8899651470038408</v>
          </cell>
          <cell r="O33">
            <v>6.383625119629226</v>
          </cell>
        </row>
        <row r="34">
          <cell r="A34" t="str">
            <v/>
          </cell>
          <cell r="B34" t="str">
            <v>COM_PROJ</v>
          </cell>
          <cell r="C34" t="str">
            <v>-</v>
          </cell>
          <cell r="D34" t="str">
            <v>RHEH</v>
          </cell>
          <cell r="J34">
            <v>7.0807191761646662</v>
          </cell>
          <cell r="O34">
            <v>9.1230423221377208</v>
          </cell>
        </row>
        <row r="35">
          <cell r="A35" t="str">
            <v/>
          </cell>
          <cell r="B35" t="str">
            <v>COM_PROJ</v>
          </cell>
          <cell r="C35" t="str">
            <v>-</v>
          </cell>
          <cell r="D35" t="str">
            <v>RHEWG</v>
          </cell>
          <cell r="J35">
            <v>31.723289073249305</v>
          </cell>
          <cell r="O35">
            <v>39.187530251080531</v>
          </cell>
        </row>
        <row r="36">
          <cell r="A36" t="str">
            <v/>
          </cell>
          <cell r="B36" t="str">
            <v>COM_PROJ</v>
          </cell>
          <cell r="C36" t="str">
            <v>-</v>
          </cell>
          <cell r="D36" t="str">
            <v>RHEW</v>
          </cell>
          <cell r="J36">
            <v>0.56043977372187515</v>
          </cell>
          <cell r="O36">
            <v>7.5716375390012427</v>
          </cell>
        </row>
        <row r="37">
          <cell r="A37" t="str">
            <v/>
          </cell>
          <cell r="B37" t="str">
            <v>COM_PROJ</v>
          </cell>
          <cell r="C37" t="str">
            <v>-</v>
          </cell>
          <cell r="D37" t="str">
            <v>RHER</v>
          </cell>
          <cell r="J37">
            <v>5.2199769796058071</v>
          </cell>
          <cell r="O37">
            <v>6.802655822475228</v>
          </cell>
        </row>
        <row r="38">
          <cell r="A38" t="str">
            <v/>
          </cell>
          <cell r="B38" t="str">
            <v>COM_PROJ</v>
          </cell>
          <cell r="C38" t="str">
            <v>-</v>
          </cell>
          <cell r="D38" t="str">
            <v>RHEO</v>
          </cell>
          <cell r="J38">
            <v>11.683546033026639</v>
          </cell>
          <cell r="O38">
            <v>15.225956505028108</v>
          </cell>
        </row>
        <row r="39">
          <cell r="A39" t="str">
            <v>*</v>
          </cell>
          <cell r="B39" t="str">
            <v>COM_PROJ</v>
          </cell>
          <cell r="C39" t="str">
            <v>-</v>
          </cell>
          <cell r="D39">
            <v>0</v>
          </cell>
          <cell r="J39">
            <v>0</v>
          </cell>
          <cell r="O39">
            <v>0</v>
          </cell>
        </row>
        <row r="40">
          <cell r="A40" t="str">
            <v>*</v>
          </cell>
          <cell r="B40" t="str">
            <v>COM_PROJ</v>
          </cell>
          <cell r="C40" t="str">
            <v>-</v>
          </cell>
          <cell r="D40">
            <v>0</v>
          </cell>
          <cell r="J40">
            <v>0</v>
          </cell>
          <cell r="O40">
            <v>0</v>
          </cell>
        </row>
        <row r="41">
          <cell r="A41" t="str">
            <v>*</v>
          </cell>
          <cell r="B41" t="str">
            <v>COM_PROJ</v>
          </cell>
          <cell r="C41" t="str">
            <v>-</v>
          </cell>
          <cell r="D41">
            <v>0</v>
          </cell>
          <cell r="J41">
            <v>0</v>
          </cell>
          <cell r="O41">
            <v>0</v>
          </cell>
        </row>
        <row r="42">
          <cell r="A42" t="str">
            <v>*</v>
          </cell>
          <cell r="B42" t="str">
            <v>COM_PROJ</v>
          </cell>
          <cell r="C42" t="str">
            <v>-</v>
          </cell>
          <cell r="D42">
            <v>0</v>
          </cell>
          <cell r="J42">
            <v>0</v>
          </cell>
          <cell r="O42">
            <v>0</v>
          </cell>
        </row>
        <row r="43">
          <cell r="A43" t="str">
            <v>*</v>
          </cell>
          <cell r="B43" t="str">
            <v>COM_PROJ</v>
          </cell>
          <cell r="C43" t="str">
            <v>-</v>
          </cell>
          <cell r="D43">
            <v>0</v>
          </cell>
          <cell r="J43">
            <v>0</v>
          </cell>
          <cell r="O43">
            <v>0</v>
          </cell>
        </row>
        <row r="44">
          <cell r="A44" t="str">
            <v>*</v>
          </cell>
          <cell r="B44" t="str">
            <v>COM_PROJ</v>
          </cell>
          <cell r="C44" t="str">
            <v>-</v>
          </cell>
          <cell r="D44">
            <v>0</v>
          </cell>
          <cell r="J44">
            <v>0</v>
          </cell>
          <cell r="O44">
            <v>0</v>
          </cell>
        </row>
        <row r="45">
          <cell r="A45" t="str">
            <v>*</v>
          </cell>
          <cell r="B45" t="str">
            <v>COM_PROJ</v>
          </cell>
          <cell r="C45" t="str">
            <v>-</v>
          </cell>
          <cell r="D45">
            <v>0</v>
          </cell>
          <cell r="J45">
            <v>0</v>
          </cell>
          <cell r="O45">
            <v>0</v>
          </cell>
        </row>
        <row r="46">
          <cell r="A46" t="str">
            <v>*</v>
          </cell>
          <cell r="B46" t="str">
            <v>COM_PROJ</v>
          </cell>
          <cell r="C46" t="str">
            <v>-</v>
          </cell>
          <cell r="D46">
            <v>0</v>
          </cell>
          <cell r="J46">
            <v>0</v>
          </cell>
          <cell r="O46">
            <v>0</v>
          </cell>
        </row>
        <row r="47">
          <cell r="A47" t="str">
            <v>*</v>
          </cell>
          <cell r="B47" t="str">
            <v>COM_PROJ</v>
          </cell>
          <cell r="C47" t="str">
            <v>-</v>
          </cell>
          <cell r="D47">
            <v>0</v>
          </cell>
          <cell r="J47">
            <v>0</v>
          </cell>
          <cell r="O47">
            <v>0</v>
          </cell>
        </row>
        <row r="48">
          <cell r="A48" t="str">
            <v>*</v>
          </cell>
          <cell r="B48" t="str">
            <v>COM_PROJ</v>
          </cell>
          <cell r="C48" t="str">
            <v>-</v>
          </cell>
          <cell r="D48">
            <v>0</v>
          </cell>
          <cell r="J48">
            <v>0</v>
          </cell>
          <cell r="O48">
            <v>0</v>
          </cell>
        </row>
        <row r="49">
          <cell r="A49" t="str">
            <v>*</v>
          </cell>
          <cell r="B49" t="str">
            <v>COM_PROJ</v>
          </cell>
          <cell r="C49" t="str">
            <v>-</v>
          </cell>
          <cell r="D49">
            <v>0</v>
          </cell>
          <cell r="J49">
            <v>0</v>
          </cell>
          <cell r="O49">
            <v>0</v>
          </cell>
        </row>
        <row r="50">
          <cell r="A50" t="str">
            <v>*</v>
          </cell>
          <cell r="B50" t="str">
            <v>COM_PROJ</v>
          </cell>
          <cell r="C50" t="str">
            <v>-</v>
          </cell>
          <cell r="D50">
            <v>0</v>
          </cell>
          <cell r="J50">
            <v>0</v>
          </cell>
          <cell r="O50">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FCB33909-50E5-436F-AE10-6C9198D12B48}"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30" dT="2019-09-13T10:58:55.62" personId="{FCB33909-50E5-436F-AE10-6C9198D12B48}" id="{A5280B53-A271-42ED-96D3-CB1B3BB3FF94}">
    <text>interpolating here, otherwise too big a jump occurs in 2015</text>
  </threadedComment>
</ThreadedComments>
</file>

<file path=xl/threadedComments/threadedComment2.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0.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5.xml"/></Relationships>
</file>

<file path=xl/worksheets/_rels/sheet2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8671875" defaultRowHeight="14.4"/>
  <cols>
    <col min="1" max="1" width="15.88671875" customWidth="1"/>
    <col min="2" max="2" width="64.44140625" customWidth="1"/>
    <col min="3" max="3" width="26.88671875" style="4" customWidth="1"/>
    <col min="4" max="4" width="23.44140625" customWidth="1"/>
  </cols>
  <sheetData>
    <row r="1" spans="1:4">
      <c r="A1" s="92" t="s">
        <v>217</v>
      </c>
      <c r="B1" s="92" t="s">
        <v>33</v>
      </c>
      <c r="C1" s="92" t="s">
        <v>219</v>
      </c>
      <c r="D1" s="92" t="s">
        <v>215</v>
      </c>
    </row>
    <row r="2" spans="1:4">
      <c r="A2" s="91">
        <v>41499</v>
      </c>
      <c r="B2" s="90" t="s">
        <v>218</v>
      </c>
      <c r="C2" s="90" t="s">
        <v>220</v>
      </c>
      <c r="D2" t="s">
        <v>216</v>
      </c>
    </row>
    <row r="3" spans="1:4">
      <c r="A3" s="91">
        <v>41500</v>
      </c>
      <c r="B3" t="s">
        <v>223</v>
      </c>
      <c r="C3" s="4" t="s">
        <v>224</v>
      </c>
      <c r="D3" s="4" t="s">
        <v>216</v>
      </c>
    </row>
    <row r="4" spans="1:4">
      <c r="A4" s="91">
        <v>41502</v>
      </c>
      <c r="B4" t="s">
        <v>225</v>
      </c>
      <c r="C4" s="4" t="s">
        <v>224</v>
      </c>
      <c r="D4" s="4" t="s">
        <v>216</v>
      </c>
    </row>
    <row r="5" spans="1:4">
      <c r="A5" s="91">
        <v>41505</v>
      </c>
      <c r="B5" t="s">
        <v>227</v>
      </c>
      <c r="C5" s="4" t="s">
        <v>262</v>
      </c>
      <c r="D5" t="s">
        <v>226</v>
      </c>
    </row>
    <row r="7" spans="1:4">
      <c r="A7" s="91">
        <v>41599</v>
      </c>
      <c r="B7" t="s">
        <v>268</v>
      </c>
      <c r="C7" s="4" t="s">
        <v>5</v>
      </c>
      <c r="D7" t="s">
        <v>226</v>
      </c>
    </row>
    <row r="9" spans="1:4">
      <c r="A9" s="91" t="s">
        <v>425</v>
      </c>
      <c r="B9" t="s">
        <v>426</v>
      </c>
      <c r="D9" t="s">
        <v>427</v>
      </c>
    </row>
    <row r="11" spans="1:4">
      <c r="A11" s="91">
        <v>42467</v>
      </c>
      <c r="B11" t="s">
        <v>450</v>
      </c>
      <c r="C11" s="4" t="s">
        <v>451</v>
      </c>
      <c r="D11" t="s">
        <v>452</v>
      </c>
    </row>
    <row r="13" spans="1:4">
      <c r="A13" s="167">
        <v>42963</v>
      </c>
      <c r="B13" t="s">
        <v>480</v>
      </c>
      <c r="C13" s="4" t="s">
        <v>479</v>
      </c>
      <c r="D13" t="s">
        <v>226</v>
      </c>
    </row>
    <row r="14" spans="1:4">
      <c r="B14" t="s">
        <v>481</v>
      </c>
      <c r="D14" s="4"/>
    </row>
    <row r="15" spans="1:4">
      <c r="B15" t="s">
        <v>482</v>
      </c>
    </row>
    <row r="17" spans="1:4">
      <c r="A17" s="167">
        <v>43007</v>
      </c>
      <c r="B17" t="s">
        <v>536</v>
      </c>
      <c r="D17" t="s">
        <v>226</v>
      </c>
    </row>
    <row r="18" spans="1:4">
      <c r="B18" t="s">
        <v>537</v>
      </c>
    </row>
    <row r="20" spans="1:4">
      <c r="A20" s="167">
        <v>43039</v>
      </c>
      <c r="B20" t="s">
        <v>565</v>
      </c>
      <c r="C20" s="4" t="s">
        <v>566</v>
      </c>
      <c r="D20" t="s">
        <v>567</v>
      </c>
    </row>
    <row r="21" spans="1:4">
      <c r="B21" t="s">
        <v>568</v>
      </c>
      <c r="C21" s="4" t="s">
        <v>5</v>
      </c>
      <c r="D21" t="s">
        <v>567</v>
      </c>
    </row>
    <row r="24" spans="1:4" s="227" customFormat="1">
      <c r="A24" s="259">
        <v>44007.756886921299</v>
      </c>
      <c r="B24" s="227" t="s">
        <v>672</v>
      </c>
      <c r="C24" s="227" t="s">
        <v>673</v>
      </c>
      <c r="D24" s="227" t="s">
        <v>674</v>
      </c>
    </row>
    <row r="25" spans="1:4" s="227" customFormat="1"/>
    <row r="26" spans="1:4" s="227" customFormat="1"/>
    <row r="27" spans="1:4" s="227" customFormat="1"/>
    <row r="28" spans="1:4" s="227" customFormat="1"/>
    <row r="29" spans="1:4" s="227" customFormat="1"/>
    <row r="30" spans="1:4" s="227" customFormat="1"/>
    <row r="31" spans="1:4" s="227" customFormat="1"/>
    <row r="32" spans="1:4" s="227" customFormat="1"/>
    <row r="33" spans="1:2" s="227" customFormat="1"/>
    <row r="34" spans="1:2" s="227" customFormat="1"/>
    <row r="35" spans="1:2" s="227" customFormat="1"/>
    <row r="37" spans="1:2">
      <c r="A37" s="259">
        <f ca="1">NOW()</f>
        <v>44021.515793402781</v>
      </c>
    </row>
    <row r="38" spans="1:2">
      <c r="A38" t="s">
        <v>546</v>
      </c>
      <c r="B38" t="s">
        <v>547</v>
      </c>
    </row>
    <row r="39" spans="1:2">
      <c r="B39" t="s">
        <v>550</v>
      </c>
    </row>
    <row r="40" spans="1:2">
      <c r="B40" t="s">
        <v>548</v>
      </c>
    </row>
    <row r="41" spans="1:2">
      <c r="B41" t="s">
        <v>549</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09375" defaultRowHeight="10.199999999999999"/>
  <cols>
    <col min="1" max="1" width="12.109375" style="18" customWidth="1"/>
    <col min="2" max="2" width="42.44140625" style="18" customWidth="1"/>
    <col min="3" max="3" width="28.44140625" style="18" customWidth="1"/>
    <col min="4" max="4" width="21.88671875" style="18" customWidth="1"/>
    <col min="5" max="16384" width="9.109375" style="18"/>
  </cols>
  <sheetData>
    <row r="1" spans="1:2">
      <c r="A1" s="16" t="s">
        <v>27</v>
      </c>
      <c r="B1" s="18" t="s">
        <v>28</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8671875" defaultRowHeight="14.4"/>
  <cols>
    <col min="2" max="2" width="31.44140625" customWidth="1"/>
    <col min="6" max="6" width="13.109375" customWidth="1"/>
  </cols>
  <sheetData>
    <row r="2" spans="2:28">
      <c r="B2" s="4"/>
      <c r="C2" s="4"/>
      <c r="D2" s="4"/>
      <c r="E2" s="5"/>
      <c r="F2" s="4"/>
      <c r="G2" s="4"/>
    </row>
    <row r="3" spans="2:28" ht="18" thickBot="1">
      <c r="B3" s="38" t="s">
        <v>421</v>
      </c>
      <c r="C3" s="4"/>
      <c r="E3" s="4"/>
    </row>
    <row r="4" spans="2:28" ht="18.600000000000001" thickTop="1" thickBot="1">
      <c r="B4" s="38" t="s">
        <v>293</v>
      </c>
      <c r="C4" s="4"/>
      <c r="E4" s="4"/>
    </row>
    <row r="5" spans="2:28" s="4" customFormat="1" ht="15" thickTop="1"/>
    <row r="6" spans="2:28" ht="18" thickBot="1">
      <c r="B6" s="38" t="s">
        <v>294</v>
      </c>
      <c r="C6" s="4"/>
    </row>
    <row r="7" spans="2:28" ht="15" thickTop="1">
      <c r="B7" s="4" t="s">
        <v>1</v>
      </c>
      <c r="C7" s="29">
        <v>1</v>
      </c>
      <c r="D7" s="5"/>
    </row>
    <row r="8" spans="2:28">
      <c r="B8" s="4" t="s">
        <v>4</v>
      </c>
      <c r="C8" s="29">
        <v>1</v>
      </c>
      <c r="D8" s="5"/>
    </row>
    <row r="9" spans="2:28">
      <c r="B9" s="4" t="s">
        <v>140</v>
      </c>
      <c r="C9" s="29">
        <v>1</v>
      </c>
      <c r="D9" s="5"/>
    </row>
    <row r="10" spans="2:28">
      <c r="B10" s="4" t="s">
        <v>141</v>
      </c>
      <c r="C10" s="29">
        <v>1</v>
      </c>
      <c r="D10" s="5"/>
    </row>
    <row r="11" spans="2:28">
      <c r="B11" s="4" t="s">
        <v>3</v>
      </c>
      <c r="C11" s="29">
        <v>1</v>
      </c>
      <c r="D11" s="5"/>
    </row>
    <row r="12" spans="2:28">
      <c r="B12" s="4"/>
      <c r="C12" s="4"/>
      <c r="D12" s="4"/>
      <c r="E12" s="4"/>
      <c r="F12" s="4"/>
      <c r="G12" s="4"/>
    </row>
    <row r="13" spans="2:28">
      <c r="B13" s="5" t="s">
        <v>285</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274</v>
      </c>
      <c r="C14" s="4"/>
      <c r="D14" s="4"/>
      <c r="E14" s="4"/>
      <c r="F14" s="4"/>
      <c r="G14" s="4"/>
      <c r="H14" s="2"/>
      <c r="I14" s="2"/>
      <c r="J14" s="4"/>
      <c r="K14" s="4"/>
      <c r="L14" s="4"/>
      <c r="M14" s="2"/>
      <c r="N14" s="2"/>
      <c r="O14" s="2"/>
      <c r="P14" s="2"/>
      <c r="Q14" s="4"/>
      <c r="R14" s="4"/>
      <c r="S14" s="4"/>
    </row>
    <row r="15" spans="2:28">
      <c r="B15" s="2" t="s">
        <v>276</v>
      </c>
      <c r="C15" s="4"/>
      <c r="D15" s="4"/>
      <c r="E15" s="4"/>
      <c r="F15" s="4"/>
      <c r="G15" s="4"/>
      <c r="H15" s="2"/>
      <c r="I15" s="2"/>
      <c r="J15" s="4"/>
      <c r="K15" s="4"/>
      <c r="L15" s="4"/>
      <c r="M15" s="2"/>
      <c r="N15" s="2"/>
      <c r="O15" s="2"/>
      <c r="P15" s="2"/>
      <c r="Q15" s="4"/>
      <c r="R15" s="4"/>
      <c r="S15" s="4"/>
    </row>
    <row r="16" spans="2:28">
      <c r="B16" s="2" t="s">
        <v>278</v>
      </c>
      <c r="C16" s="4"/>
      <c r="D16" s="4"/>
      <c r="E16" s="4"/>
      <c r="F16" s="4"/>
      <c r="G16" s="4"/>
      <c r="H16" s="2"/>
      <c r="I16" s="2"/>
      <c r="J16" s="4"/>
      <c r="K16" s="4"/>
      <c r="L16" s="4"/>
      <c r="M16" s="2"/>
      <c r="N16" s="2"/>
      <c r="O16" s="2"/>
      <c r="P16" s="2"/>
      <c r="Q16" s="4"/>
      <c r="R16" s="4"/>
      <c r="S16" s="4"/>
    </row>
    <row r="17" spans="2:19">
      <c r="B17" s="2" t="s">
        <v>280</v>
      </c>
      <c r="C17" s="4"/>
      <c r="D17" s="4"/>
      <c r="E17" s="4"/>
      <c r="F17" s="4"/>
      <c r="G17" s="4" t="s">
        <v>506</v>
      </c>
      <c r="H17" s="2"/>
      <c r="I17" s="2"/>
      <c r="J17" s="4"/>
      <c r="K17" s="4"/>
      <c r="L17" s="4"/>
      <c r="M17" s="2"/>
      <c r="N17" s="2"/>
      <c r="O17" s="2"/>
      <c r="P17" s="2"/>
      <c r="Q17" s="4"/>
      <c r="R17" s="4"/>
      <c r="S17" s="4"/>
    </row>
    <row r="18" spans="2:19">
      <c r="B18" s="4"/>
      <c r="C18" s="4"/>
      <c r="D18" s="4"/>
      <c r="E18" s="4"/>
      <c r="F18" s="4"/>
      <c r="G18" s="4" t="s">
        <v>504</v>
      </c>
      <c r="H18" s="2" t="s">
        <v>507</v>
      </c>
      <c r="I18" s="2"/>
      <c r="J18" s="4"/>
      <c r="K18" s="4"/>
      <c r="L18" s="4"/>
      <c r="M18" s="2"/>
      <c r="N18" s="2"/>
      <c r="O18" s="2"/>
      <c r="P18" s="2"/>
      <c r="Q18" s="4"/>
      <c r="R18" s="4"/>
      <c r="S18" s="4"/>
    </row>
    <row r="19" spans="2:19">
      <c r="B19" s="4" t="s">
        <v>503</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127</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1"/>
  <dimension ref="A6:E8"/>
  <sheetViews>
    <sheetView workbookViewId="0">
      <selection activeCell="E8" sqref="E8"/>
    </sheetView>
  </sheetViews>
  <sheetFormatPr defaultColWidth="8.88671875" defaultRowHeight="14.4"/>
  <cols>
    <col min="1" max="1" width="8.88671875" style="227"/>
    <col min="2" max="2" width="16.109375" style="227" customWidth="1"/>
    <col min="3" max="3" width="14.109375" style="227" customWidth="1"/>
    <col min="4" max="16384" width="8.88671875" style="227"/>
  </cols>
  <sheetData>
    <row r="6" spans="1:5">
      <c r="D6" s="227" t="s">
        <v>312</v>
      </c>
      <c r="E6" s="227" t="s">
        <v>313</v>
      </c>
    </row>
    <row r="7" spans="1:5">
      <c r="A7" s="227" t="s">
        <v>543</v>
      </c>
      <c r="B7" s="227" t="s">
        <v>114</v>
      </c>
      <c r="C7" s="227" t="s">
        <v>671</v>
      </c>
      <c r="E7" s="227">
        <v>1</v>
      </c>
    </row>
    <row r="8" spans="1:5">
      <c r="C8" s="3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4"/>
  <sheetViews>
    <sheetView topLeftCell="A4" workbookViewId="0">
      <selection activeCell="F32" sqref="F32"/>
    </sheetView>
  </sheetViews>
  <sheetFormatPr defaultColWidth="8.88671875" defaultRowHeight="14.4"/>
  <cols>
    <col min="2" max="2" width="14.109375" customWidth="1"/>
    <col min="3" max="3" width="18.109375" customWidth="1"/>
  </cols>
  <sheetData>
    <row r="2" spans="1:6">
      <c r="B2" t="s">
        <v>311</v>
      </c>
      <c r="C2" s="4" t="s">
        <v>314</v>
      </c>
      <c r="D2" s="4" t="s">
        <v>315</v>
      </c>
      <c r="E2" s="4">
        <v>1</v>
      </c>
    </row>
    <row r="6" spans="1:6">
      <c r="A6" s="4"/>
      <c r="B6" s="4"/>
      <c r="C6" s="4"/>
      <c r="D6" s="4" t="s">
        <v>312</v>
      </c>
      <c r="E6" s="4" t="s">
        <v>313</v>
      </c>
      <c r="F6" s="4" t="s">
        <v>430</v>
      </c>
    </row>
    <row r="7" spans="1:6">
      <c r="A7" s="4" t="s">
        <v>311</v>
      </c>
      <c r="B7" s="4" t="s">
        <v>316</v>
      </c>
      <c r="C7" s="4" t="s">
        <v>419</v>
      </c>
      <c r="D7" s="4">
        <v>1</v>
      </c>
      <c r="E7" s="4">
        <v>1</v>
      </c>
      <c r="F7" s="4"/>
    </row>
    <row r="8" spans="1:6">
      <c r="A8" s="4" t="s">
        <v>311</v>
      </c>
      <c r="B8" s="4" t="s">
        <v>557</v>
      </c>
      <c r="C8" s="4" t="s">
        <v>420</v>
      </c>
      <c r="D8" s="4"/>
      <c r="E8" s="4">
        <v>1</v>
      </c>
      <c r="F8" s="4"/>
    </row>
    <row r="9" spans="1:6">
      <c r="A9" s="4" t="s">
        <v>311</v>
      </c>
      <c r="B9" s="4" t="s">
        <v>429</v>
      </c>
      <c r="C9" s="4" t="s">
        <v>428</v>
      </c>
      <c r="D9" s="4"/>
      <c r="E9" s="4"/>
      <c r="F9" s="4">
        <v>0</v>
      </c>
    </row>
    <row r="10" spans="1:6">
      <c r="A10" s="4" t="s">
        <v>311</v>
      </c>
      <c r="B10" s="4" t="s">
        <v>551</v>
      </c>
      <c r="C10" s="4" t="s">
        <v>552</v>
      </c>
      <c r="D10" s="4">
        <v>1</v>
      </c>
      <c r="E10" s="4">
        <v>1</v>
      </c>
      <c r="F10" s="4"/>
    </row>
    <row r="11" spans="1:6">
      <c r="A11" s="4" t="s">
        <v>311</v>
      </c>
      <c r="B11" s="4" t="s">
        <v>553</v>
      </c>
      <c r="C11" s="4" t="s">
        <v>554</v>
      </c>
      <c r="D11" s="4"/>
      <c r="E11" s="4">
        <v>1</v>
      </c>
      <c r="F11" s="4"/>
    </row>
    <row r="12" spans="1:6">
      <c r="A12" s="4" t="s">
        <v>311</v>
      </c>
      <c r="B12" s="4" t="s">
        <v>539</v>
      </c>
      <c r="C12" s="4" t="s">
        <v>540</v>
      </c>
      <c r="D12" s="4">
        <v>1</v>
      </c>
      <c r="E12" s="4">
        <v>1</v>
      </c>
      <c r="F12" s="4"/>
    </row>
    <row r="13" spans="1:6">
      <c r="A13" s="4" t="s">
        <v>543</v>
      </c>
      <c r="B13" s="4" t="s">
        <v>544</v>
      </c>
      <c r="C13" s="4" t="s">
        <v>545</v>
      </c>
      <c r="D13" s="4">
        <v>2</v>
      </c>
      <c r="E13" s="4">
        <v>1</v>
      </c>
      <c r="F13" s="4"/>
    </row>
    <row r="14" spans="1:6">
      <c r="A14" s="4" t="s">
        <v>311</v>
      </c>
      <c r="B14" s="4" t="s">
        <v>571</v>
      </c>
      <c r="C14" s="4" t="s">
        <v>599</v>
      </c>
      <c r="D14" s="4"/>
      <c r="E14" s="4">
        <v>1</v>
      </c>
      <c r="F14" s="4"/>
    </row>
  </sheetData>
  <pageMargins left="0.7" right="0.7" top="0.75" bottom="0.75" header="0.3" footer="0.3"/>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C9" sqref="C9"/>
    </sheetView>
  </sheetViews>
  <sheetFormatPr defaultColWidth="8.88671875" defaultRowHeight="14.4"/>
  <cols>
    <col min="2" max="2" width="16.109375" customWidth="1"/>
    <col min="3" max="3" width="14.109375" customWidth="1"/>
  </cols>
  <sheetData>
    <row r="6" spans="1:5">
      <c r="A6" s="4"/>
      <c r="B6" s="4"/>
      <c r="C6" s="4"/>
      <c r="D6" s="4" t="s">
        <v>312</v>
      </c>
      <c r="E6" s="4" t="s">
        <v>313</v>
      </c>
    </row>
    <row r="7" spans="1:5">
      <c r="A7" s="4" t="s">
        <v>311</v>
      </c>
      <c r="B7" s="4" t="s">
        <v>402</v>
      </c>
      <c r="C7" s="4" t="s">
        <v>401</v>
      </c>
      <c r="D7" s="4">
        <v>1</v>
      </c>
      <c r="E7" s="4">
        <v>1</v>
      </c>
    </row>
    <row r="8" spans="1:5">
      <c r="A8" s="4" t="s">
        <v>311</v>
      </c>
      <c r="B8" s="4" t="s">
        <v>455</v>
      </c>
      <c r="C8" s="4" t="str">
        <f>"PTRA!"&amp;ADDRESS(ROW(PTRA!J227),COLUMN(PTRA!J227),4)</f>
        <v>PTRA!J227</v>
      </c>
      <c r="D8" s="4">
        <v>1</v>
      </c>
      <c r="E8" s="4">
        <v>1</v>
      </c>
    </row>
    <row r="9" spans="1:5">
      <c r="A9" s="4" t="s">
        <v>311</v>
      </c>
      <c r="B9" s="4" t="s">
        <v>456</v>
      </c>
      <c r="C9" s="4" t="str">
        <f>"FTRA!"&amp;ADDRESS(ROW(FTRA!J170),COLUMN(FTRA!J170),4)</f>
        <v>FTRA!J170</v>
      </c>
      <c r="D9" s="4">
        <v>1</v>
      </c>
      <c r="E9" s="4">
        <v>1</v>
      </c>
    </row>
    <row r="10" spans="1:5">
      <c r="A10" s="4" t="s">
        <v>311</v>
      </c>
      <c r="B10" s="4" t="s">
        <v>538</v>
      </c>
      <c r="C10" s="227" t="str">
        <f>"PTRA!"&amp;ADDRESS(ROW(PTRA!I254),COLUMN(PTRA!I254),4)</f>
        <v>PTRA!I254</v>
      </c>
      <c r="D10" s="4">
        <v>2</v>
      </c>
      <c r="E10" s="4">
        <v>1</v>
      </c>
    </row>
    <row r="11" spans="1:5">
      <c r="A11" t="s">
        <v>311</v>
      </c>
      <c r="B11" t="s">
        <v>539</v>
      </c>
      <c r="C11" t="s">
        <v>540</v>
      </c>
      <c r="D11" s="4">
        <v>1</v>
      </c>
      <c r="E11" s="4">
        <v>1</v>
      </c>
    </row>
    <row r="12" spans="1:5">
      <c r="A12" t="s">
        <v>311</v>
      </c>
      <c r="B12" t="s">
        <v>541</v>
      </c>
      <c r="C12" t="s">
        <v>542</v>
      </c>
      <c r="D12">
        <v>1</v>
      </c>
      <c r="E12">
        <v>1</v>
      </c>
    </row>
    <row r="13" spans="1:5">
      <c r="A13" t="s">
        <v>543</v>
      </c>
      <c r="B13" t="s">
        <v>544</v>
      </c>
      <c r="C13" s="4" t="s">
        <v>545</v>
      </c>
      <c r="D13" s="4">
        <v>2</v>
      </c>
      <c r="E13" s="4">
        <v>1</v>
      </c>
    </row>
    <row r="14" spans="1:5" s="4" customFormat="1">
      <c r="A14" s="227"/>
      <c r="B14" s="227"/>
      <c r="C14" s="36"/>
      <c r="D14" s="22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topLeftCell="A25" workbookViewId="0"/>
  </sheetViews>
  <sheetFormatPr defaultColWidth="9.109375" defaultRowHeight="14.4"/>
  <cols>
    <col min="1" max="16384" width="9.109375" style="4"/>
  </cols>
  <sheetData>
    <row r="1" spans="1:31">
      <c r="A1" t="s">
        <v>502</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483</v>
      </c>
      <c r="C2" s="4" t="s">
        <v>484</v>
      </c>
      <c r="D2" s="8">
        <f>SUM([2]Sheet1!D6,[2]Sheet1!D40,[2]Sheet1!D74,[2]Sheet1!D108)</f>
        <v>2352836.9199662828</v>
      </c>
      <c r="E2" s="8">
        <f>SUM([2]Sheet1!E6,[2]Sheet1!E40,[2]Sheet1!E74,[2]Sheet1!E108)</f>
        <v>2353712.1472010948</v>
      </c>
      <c r="F2" s="8">
        <f>SUM([2]Sheet1!F6,[2]Sheet1!F40,[2]Sheet1!F74,[2]Sheet1!F108)</f>
        <v>2384676.8126227115</v>
      </c>
      <c r="G2" s="8">
        <f>SUM([2]Sheet1!G6,[2]Sheet1!G40,[2]Sheet1!G74,[2]Sheet1!G108)</f>
        <v>2433637.7196340291</v>
      </c>
      <c r="H2" s="8">
        <f>SUM([2]Sheet1!H6,[2]Sheet1!H40,[2]Sheet1!H74,[2]Sheet1!H108)</f>
        <v>2514444.1056430414</v>
      </c>
      <c r="I2" s="8">
        <f>SUM([2]Sheet1!I6,[2]Sheet1!I40,[2]Sheet1!I74,[2]Sheet1!I108)</f>
        <v>2615310.2237567683</v>
      </c>
      <c r="J2" s="8">
        <f>SUM([2]Sheet1!J6,[2]Sheet1!J40,[2]Sheet1!J74,[2]Sheet1!J108)</f>
        <v>2720677.3481308571</v>
      </c>
      <c r="K2" s="8">
        <f>SUM([2]Sheet1!K6,[2]Sheet1!K40,[2]Sheet1!K74,[2]Sheet1!K108)</f>
        <v>2798583.1997686187</v>
      </c>
      <c r="L2" s="8">
        <f>SUM([2]Sheet1!L6,[2]Sheet1!L40,[2]Sheet1!L74,[2]Sheet1!L108)</f>
        <v>2854890.3931614971</v>
      </c>
      <c r="M2" s="8">
        <f>SUM([2]Sheet1!M6,[2]Sheet1!M40,[2]Sheet1!M74,[2]Sheet1!M108)</f>
        <v>2890850.7370394776</v>
      </c>
      <c r="N2" s="8">
        <f>SUM([2]Sheet1!N6,[2]Sheet1!N40,[2]Sheet1!N74,[2]Sheet1!N108)</f>
        <v>2910205.4064366445</v>
      </c>
      <c r="O2" s="8">
        <f>SUM([2]Sheet1!O6,[2]Sheet1!O40,[2]Sheet1!O74,[2]Sheet1!O108)</f>
        <v>2922618.9342035525</v>
      </c>
      <c r="P2" s="8">
        <f>SUM([2]Sheet1!P6,[2]Sheet1!P40,[2]Sheet1!P74,[2]Sheet1!P108)</f>
        <v>2933005.3149803439</v>
      </c>
      <c r="Q2" s="8">
        <f>SUM([2]Sheet1!Q6,[2]Sheet1!Q40,[2]Sheet1!Q74,[2]Sheet1!Q108)</f>
        <v>2941344.4336485704</v>
      </c>
      <c r="R2" s="8">
        <f>SUM([2]Sheet1!R6,[2]Sheet1!R40,[2]Sheet1!R74,[2]Sheet1!R108)</f>
        <v>2946654.5180383818</v>
      </c>
      <c r="S2" s="8">
        <f>SUM([2]Sheet1!S6,[2]Sheet1!S40,[2]Sheet1!S74,[2]Sheet1!S108)</f>
        <v>2946311.8348281723</v>
      </c>
      <c r="T2" s="8"/>
      <c r="U2" s="8"/>
      <c r="V2" s="8"/>
      <c r="W2" s="8"/>
      <c r="X2" s="8"/>
      <c r="Y2" s="8"/>
      <c r="Z2" s="8"/>
      <c r="AA2" s="8"/>
      <c r="AB2" s="8"/>
      <c r="AC2" s="8"/>
      <c r="AD2" s="8"/>
      <c r="AE2" s="8"/>
    </row>
    <row r="3" spans="1:31">
      <c r="B3" s="4" t="s">
        <v>483</v>
      </c>
      <c r="C3" s="4" t="s">
        <v>485</v>
      </c>
      <c r="D3" s="8">
        <f>SUM([2]Sheet1!D7,[2]Sheet1!D41,[2]Sheet1!D75,[2]Sheet1!D109)</f>
        <v>2489008.6259477925</v>
      </c>
      <c r="E3" s="8">
        <f>SUM([2]Sheet1!E7,[2]Sheet1!E41,[2]Sheet1!E75,[2]Sheet1!E109)</f>
        <v>2445518.8424010845</v>
      </c>
      <c r="F3" s="8">
        <f>SUM([2]Sheet1!F7,[2]Sheet1!F41,[2]Sheet1!F75,[2]Sheet1!F109)</f>
        <v>2407557.7983711092</v>
      </c>
      <c r="G3" s="8">
        <f>SUM([2]Sheet1!G7,[2]Sheet1!G41,[2]Sheet1!G75,[2]Sheet1!G109)</f>
        <v>2378852.9311973583</v>
      </c>
      <c r="H3" s="8">
        <f>SUM([2]Sheet1!H7,[2]Sheet1!H41,[2]Sheet1!H75,[2]Sheet1!H109)</f>
        <v>2346392.7334666867</v>
      </c>
      <c r="I3" s="8">
        <f>SUM([2]Sheet1!I7,[2]Sheet1!I41,[2]Sheet1!I75,[2]Sheet1!I109)</f>
        <v>2326969.4787796293</v>
      </c>
      <c r="J3" s="8">
        <f>SUM([2]Sheet1!J7,[2]Sheet1!J41,[2]Sheet1!J75,[2]Sheet1!J109)</f>
        <v>2320049.5271344036</v>
      </c>
      <c r="K3" s="8">
        <f>SUM([2]Sheet1!K7,[2]Sheet1!K41,[2]Sheet1!K75,[2]Sheet1!K109)</f>
        <v>2344311.0089102122</v>
      </c>
      <c r="L3" s="8">
        <f>SUM([2]Sheet1!L7,[2]Sheet1!L41,[2]Sheet1!L75,[2]Sheet1!L109)</f>
        <v>2387315.172413771</v>
      </c>
      <c r="M3" s="8">
        <f>SUM([2]Sheet1!M7,[2]Sheet1!M41,[2]Sheet1!M75,[2]Sheet1!M109)</f>
        <v>2463070.8530652933</v>
      </c>
      <c r="N3" s="8">
        <f>SUM([2]Sheet1!N7,[2]Sheet1!N41,[2]Sheet1!N75,[2]Sheet1!N109)</f>
        <v>2561964.5599117558</v>
      </c>
      <c r="O3" s="8">
        <f>SUM([2]Sheet1!O7,[2]Sheet1!O41,[2]Sheet1!O75,[2]Sheet1!O109)</f>
        <v>2667630.8647058471</v>
      </c>
      <c r="P3" s="8">
        <f>SUM([2]Sheet1!P7,[2]Sheet1!P41,[2]Sheet1!P75,[2]Sheet1!P109)</f>
        <v>2751216.0921220072</v>
      </c>
      <c r="Q3" s="8">
        <f>SUM([2]Sheet1!Q7,[2]Sheet1!Q41,[2]Sheet1!Q75,[2]Sheet1!Q109)</f>
        <v>2815988.9403248057</v>
      </c>
      <c r="R3" s="8">
        <f>SUM([2]Sheet1!R7,[2]Sheet1!R41,[2]Sheet1!R75,[2]Sheet1!R109)</f>
        <v>2860294.571644709</v>
      </c>
      <c r="S3" s="8">
        <f>SUM([2]Sheet1!S7,[2]Sheet1!S41,[2]Sheet1!S75,[2]Sheet1!S109)</f>
        <v>2888924.8204291668</v>
      </c>
      <c r="T3" s="8"/>
      <c r="U3" s="8"/>
      <c r="V3" s="8"/>
      <c r="W3" s="8"/>
      <c r="X3" s="8"/>
      <c r="Y3" s="8"/>
      <c r="Z3" s="8"/>
      <c r="AA3" s="8"/>
      <c r="AB3" s="8"/>
      <c r="AC3" s="8"/>
      <c r="AD3" s="8"/>
      <c r="AE3" s="8"/>
    </row>
    <row r="4" spans="1:31">
      <c r="B4" s="4" t="s">
        <v>483</v>
      </c>
      <c r="C4" s="4" t="s">
        <v>486</v>
      </c>
      <c r="D4" s="8">
        <f>SUM([2]Sheet1!D8,[2]Sheet1!D42,[2]Sheet1!D76,[2]Sheet1!D110)</f>
        <v>2644706.3713786211</v>
      </c>
      <c r="E4" s="8">
        <f>SUM([2]Sheet1!E8,[2]Sheet1!E42,[2]Sheet1!E76,[2]Sheet1!E110)</f>
        <v>2627413.1238008388</v>
      </c>
      <c r="F4" s="8">
        <f>SUM([2]Sheet1!F8,[2]Sheet1!F42,[2]Sheet1!F76,[2]Sheet1!F110)</f>
        <v>2600129.1513205883</v>
      </c>
      <c r="G4" s="8">
        <f>SUM([2]Sheet1!G8,[2]Sheet1!G42,[2]Sheet1!G76,[2]Sheet1!G110)</f>
        <v>2569707.4489742396</v>
      </c>
      <c r="H4" s="8">
        <f>SUM([2]Sheet1!H8,[2]Sheet1!H42,[2]Sheet1!H76,[2]Sheet1!H110)</f>
        <v>2537138.0284069767</v>
      </c>
      <c r="I4" s="8">
        <f>SUM([2]Sheet1!I8,[2]Sheet1!I42,[2]Sheet1!I76,[2]Sheet1!I110)</f>
        <v>2489918.5807916909</v>
      </c>
      <c r="J4" s="8">
        <f>SUM([2]Sheet1!J8,[2]Sheet1!J42,[2]Sheet1!J76,[2]Sheet1!J110)</f>
        <v>2436378.8484816272</v>
      </c>
      <c r="K4" s="8">
        <f>SUM([2]Sheet1!K8,[2]Sheet1!K42,[2]Sheet1!K76,[2]Sheet1!K110)</f>
        <v>2391383.9014847511</v>
      </c>
      <c r="L4" s="8">
        <f>SUM([2]Sheet1!L8,[2]Sheet1!L42,[2]Sheet1!L76,[2]Sheet1!L110)</f>
        <v>2356825.7450504326</v>
      </c>
      <c r="M4" s="8">
        <f>SUM([2]Sheet1!M8,[2]Sheet1!M42,[2]Sheet1!M76,[2]Sheet1!M110)</f>
        <v>2320133.9461123575</v>
      </c>
      <c r="N4" s="8">
        <f>SUM([2]Sheet1!N8,[2]Sheet1!N42,[2]Sheet1!N76,[2]Sheet1!N110)</f>
        <v>2299533.3290045904</v>
      </c>
      <c r="O4" s="8">
        <f>SUM([2]Sheet1!O8,[2]Sheet1!O42,[2]Sheet1!O76,[2]Sheet1!O110)</f>
        <v>2293085.5217066747</v>
      </c>
      <c r="P4" s="8">
        <f>SUM([2]Sheet1!P8,[2]Sheet1!P42,[2]Sheet1!P76,[2]Sheet1!P110)</f>
        <v>2317907.3337784777</v>
      </c>
      <c r="Q4" s="8">
        <f>SUM([2]Sheet1!Q8,[2]Sheet1!Q42,[2]Sheet1!Q76,[2]Sheet1!Q110)</f>
        <v>2363491.5172683401</v>
      </c>
      <c r="R4" s="8">
        <f>SUM([2]Sheet1!R8,[2]Sheet1!R42,[2]Sheet1!R76,[2]Sheet1!R110)</f>
        <v>2443105.5012677759</v>
      </c>
      <c r="S4" s="8">
        <f>SUM([2]Sheet1!S8,[2]Sheet1!S42,[2]Sheet1!S76,[2]Sheet1!S110)</f>
        <v>2547259.7489749729</v>
      </c>
      <c r="T4" s="8"/>
      <c r="U4" s="8"/>
      <c r="V4" s="8"/>
      <c r="W4" s="8"/>
      <c r="X4" s="8"/>
      <c r="Y4" s="8"/>
      <c r="Z4" s="8"/>
      <c r="AA4" s="8"/>
      <c r="AB4" s="8"/>
      <c r="AC4" s="8"/>
      <c r="AD4" s="8"/>
      <c r="AE4" s="8"/>
    </row>
    <row r="5" spans="1:31">
      <c r="B5" s="4" t="s">
        <v>483</v>
      </c>
      <c r="C5" s="4" t="s">
        <v>487</v>
      </c>
      <c r="D5" s="8">
        <f>SUM([2]Sheet1!D9,[2]Sheet1!D43,[2]Sheet1!D77,[2]Sheet1!D111)</f>
        <v>2520302.2649507183</v>
      </c>
      <c r="E5" s="8">
        <f>SUM([2]Sheet1!E9,[2]Sheet1!E43,[2]Sheet1!E77,[2]Sheet1!E111)</f>
        <v>2578643.9096090728</v>
      </c>
      <c r="F5" s="8">
        <f>SUM([2]Sheet1!F9,[2]Sheet1!F43,[2]Sheet1!F77,[2]Sheet1!F111)</f>
        <v>2626714.2079775617</v>
      </c>
      <c r="G5" s="8">
        <f>SUM([2]Sheet1!G9,[2]Sheet1!G43,[2]Sheet1!G77,[2]Sheet1!G111)</f>
        <v>2659148.5764635433</v>
      </c>
      <c r="H5" s="8">
        <f>SUM([2]Sheet1!H9,[2]Sheet1!H43,[2]Sheet1!H77,[2]Sheet1!H111)</f>
        <v>2662113.9952124576</v>
      </c>
      <c r="I5" s="8">
        <f>SUM([2]Sheet1!I9,[2]Sheet1!I43,[2]Sheet1!I77,[2]Sheet1!I111)</f>
        <v>2648575.0496015372</v>
      </c>
      <c r="J5" s="8">
        <f>SUM([2]Sheet1!J9,[2]Sheet1!J43,[2]Sheet1!J77,[2]Sheet1!J111)</f>
        <v>2620916.1811288791</v>
      </c>
      <c r="K5" s="8">
        <f>SUM([2]Sheet1!K9,[2]Sheet1!K43,[2]Sheet1!K77,[2]Sheet1!K111)</f>
        <v>2586017.46730982</v>
      </c>
      <c r="L5" s="8">
        <f>SUM([2]Sheet1!L9,[2]Sheet1!L43,[2]Sheet1!L77,[2]Sheet1!L111)</f>
        <v>2548931.6491507529</v>
      </c>
      <c r="M5" s="8">
        <f>SUM([2]Sheet1!M9,[2]Sheet1!M43,[2]Sheet1!M77,[2]Sheet1!M111)</f>
        <v>2511094.6131779528</v>
      </c>
      <c r="N5" s="8">
        <f>SUM([2]Sheet1!N9,[2]Sheet1!N43,[2]Sheet1!N77,[2]Sheet1!N111)</f>
        <v>2462275.0973497131</v>
      </c>
      <c r="O5" s="8">
        <f>SUM([2]Sheet1!O9,[2]Sheet1!O43,[2]Sheet1!O77,[2]Sheet1!O111)</f>
        <v>2409255.3952726889</v>
      </c>
      <c r="P5" s="8">
        <f>SUM([2]Sheet1!P9,[2]Sheet1!P43,[2]Sheet1!P77,[2]Sheet1!P111)</f>
        <v>2365330.5357868858</v>
      </c>
      <c r="Q5" s="8">
        <f>SUM([2]Sheet1!Q9,[2]Sheet1!Q43,[2]Sheet1!Q77,[2]Sheet1!Q111)</f>
        <v>2334090.5947119896</v>
      </c>
      <c r="R5" s="8">
        <f>SUM([2]Sheet1!R9,[2]Sheet1!R43,[2]Sheet1!R77,[2]Sheet1!R111)</f>
        <v>2302452.5545707764</v>
      </c>
      <c r="S5" s="8">
        <f>SUM([2]Sheet1!S9,[2]Sheet1!S43,[2]Sheet1!S77,[2]Sheet1!S111)</f>
        <v>2287717.3479764746</v>
      </c>
      <c r="T5" s="8"/>
      <c r="U5" s="8"/>
      <c r="V5" s="8"/>
      <c r="W5" s="8"/>
      <c r="X5" s="8"/>
      <c r="Y5" s="8"/>
      <c r="Z5" s="8"/>
      <c r="AA5" s="8"/>
      <c r="AB5" s="8"/>
      <c r="AC5" s="8"/>
      <c r="AD5" s="8"/>
      <c r="AE5" s="8"/>
    </row>
    <row r="6" spans="1:31">
      <c r="B6" s="4" t="s">
        <v>483</v>
      </c>
      <c r="C6" s="4" t="s">
        <v>488</v>
      </c>
      <c r="D6" s="8">
        <f>SUM([2]Sheet1!D10,[2]Sheet1!D44,[2]Sheet1!D78,[2]Sheet1!D112)</f>
        <v>2139226.4998723585</v>
      </c>
      <c r="E6" s="8">
        <f>SUM([2]Sheet1!E10,[2]Sheet1!E44,[2]Sheet1!E78,[2]Sheet1!E112)</f>
        <v>2237100.0878210124</v>
      </c>
      <c r="F6" s="8">
        <f>SUM([2]Sheet1!F10,[2]Sheet1!F44,[2]Sheet1!F78,[2]Sheet1!F112)</f>
        <v>2336213.1319817533</v>
      </c>
      <c r="G6" s="8">
        <f>SUM([2]Sheet1!G10,[2]Sheet1!G44,[2]Sheet1!G78,[2]Sheet1!G112)</f>
        <v>2421903.5505309235</v>
      </c>
      <c r="H6" s="8">
        <f>SUM([2]Sheet1!H10,[2]Sheet1!H44,[2]Sheet1!H78,[2]Sheet1!H112)</f>
        <v>2493798.3755482044</v>
      </c>
      <c r="I6" s="8">
        <f>SUM([2]Sheet1!I10,[2]Sheet1!I44,[2]Sheet1!I78,[2]Sheet1!I112)</f>
        <v>2550927.7694841018</v>
      </c>
      <c r="J6" s="8">
        <f>SUM([2]Sheet1!J10,[2]Sheet1!J44,[2]Sheet1!J78,[2]Sheet1!J112)</f>
        <v>2603531.3506938689</v>
      </c>
      <c r="K6" s="8">
        <f>SUM([2]Sheet1!K10,[2]Sheet1!K44,[2]Sheet1!K78,[2]Sheet1!K112)</f>
        <v>2647505.7927609538</v>
      </c>
      <c r="L6" s="8">
        <f>SUM([2]Sheet1!L10,[2]Sheet1!L44,[2]Sheet1!L78,[2]Sheet1!L112)</f>
        <v>2675993.2338640913</v>
      </c>
      <c r="M6" s="8">
        <f>SUM([2]Sheet1!M10,[2]Sheet1!M44,[2]Sheet1!M78,[2]Sheet1!M112)</f>
        <v>2676236.0209871251</v>
      </c>
      <c r="N6" s="8">
        <f>SUM([2]Sheet1!N10,[2]Sheet1!N44,[2]Sheet1!N78,[2]Sheet1!N112)</f>
        <v>2663334.0612222995</v>
      </c>
      <c r="O6" s="8">
        <f>SUM([2]Sheet1!O10,[2]Sheet1!O44,[2]Sheet1!O78,[2]Sheet1!O112)</f>
        <v>2638625.0314984289</v>
      </c>
      <c r="P6" s="8">
        <f>SUM([2]Sheet1!P10,[2]Sheet1!P44,[2]Sheet1!P78,[2]Sheet1!P112)</f>
        <v>2607210.1034408649</v>
      </c>
      <c r="Q6" s="8">
        <f>SUM([2]Sheet1!Q10,[2]Sheet1!Q44,[2]Sheet1!Q78,[2]Sheet1!Q112)</f>
        <v>2575713.6433947068</v>
      </c>
      <c r="R6" s="8">
        <f>SUM([2]Sheet1!R10,[2]Sheet1!R44,[2]Sheet1!R78,[2]Sheet1!R112)</f>
        <v>2544954.7948525343</v>
      </c>
      <c r="S6" s="8">
        <f>SUM([2]Sheet1!S10,[2]Sheet1!S44,[2]Sheet1!S78,[2]Sheet1!S112)</f>
        <v>2504333.5900054434</v>
      </c>
      <c r="T6" s="8"/>
      <c r="U6" s="8"/>
      <c r="V6" s="8"/>
      <c r="W6" s="8"/>
      <c r="X6" s="8"/>
      <c r="Y6" s="8"/>
      <c r="Z6" s="8"/>
      <c r="AA6" s="8"/>
      <c r="AB6" s="8"/>
      <c r="AC6" s="8"/>
      <c r="AD6" s="8"/>
      <c r="AE6" s="8"/>
    </row>
    <row r="7" spans="1:31">
      <c r="B7" s="4" t="s">
        <v>483</v>
      </c>
      <c r="C7" s="4" t="s">
        <v>489</v>
      </c>
      <c r="D7" s="8">
        <f>SUM([2]Sheet1!D11,[2]Sheet1!D45,[2]Sheet1!D79,[2]Sheet1!D113)</f>
        <v>1911823.4719063109</v>
      </c>
      <c r="E7" s="8">
        <f>SUM([2]Sheet1!E11,[2]Sheet1!E45,[2]Sheet1!E79,[2]Sheet1!E113)</f>
        <v>1933000.6591651281</v>
      </c>
      <c r="F7" s="8">
        <f>SUM([2]Sheet1!F11,[2]Sheet1!F45,[2]Sheet1!F79,[2]Sheet1!F113)</f>
        <v>1959689.7533296479</v>
      </c>
      <c r="G7" s="8">
        <f>SUM([2]Sheet1!G11,[2]Sheet1!G45,[2]Sheet1!G79,[2]Sheet1!G113)</f>
        <v>2005165.2932317827</v>
      </c>
      <c r="H7" s="8">
        <f>SUM([2]Sheet1!H11,[2]Sheet1!H45,[2]Sheet1!H79,[2]Sheet1!H113)</f>
        <v>2083197.2006844014</v>
      </c>
      <c r="I7" s="8">
        <f>SUM([2]Sheet1!I11,[2]Sheet1!I45,[2]Sheet1!I79,[2]Sheet1!I113)</f>
        <v>2176475.0223029526</v>
      </c>
      <c r="J7" s="8">
        <f>SUM([2]Sheet1!J11,[2]Sheet1!J45,[2]Sheet1!J79,[2]Sheet1!J113)</f>
        <v>2276176.6188803492</v>
      </c>
      <c r="K7" s="8">
        <f>SUM([2]Sheet1!K11,[2]Sheet1!K45,[2]Sheet1!K79,[2]Sheet1!K113)</f>
        <v>2376368.0106561426</v>
      </c>
      <c r="L7" s="8">
        <f>SUM([2]Sheet1!L11,[2]Sheet1!L45,[2]Sheet1!L79,[2]Sheet1!L113)</f>
        <v>2462761.1845392389</v>
      </c>
      <c r="M7" s="8">
        <f>SUM([2]Sheet1!M11,[2]Sheet1!M45,[2]Sheet1!M79,[2]Sheet1!M113)</f>
        <v>2536137.9586244677</v>
      </c>
      <c r="N7" s="8">
        <f>SUM([2]Sheet1!N11,[2]Sheet1!N45,[2]Sheet1!N79,[2]Sheet1!N113)</f>
        <v>2597156.9569996092</v>
      </c>
      <c r="O7" s="8">
        <f>SUM([2]Sheet1!O11,[2]Sheet1!O45,[2]Sheet1!O79,[2]Sheet1!O113)</f>
        <v>2655186.4618563633</v>
      </c>
      <c r="P7" s="8">
        <f>SUM([2]Sheet1!P11,[2]Sheet1!P45,[2]Sheet1!P79,[2]Sheet1!P113)</f>
        <v>2704802.5767264795</v>
      </c>
      <c r="Q7" s="8">
        <f>SUM([2]Sheet1!Q11,[2]Sheet1!Q45,[2]Sheet1!Q79,[2]Sheet1!Q113)</f>
        <v>2741254.0315982052</v>
      </c>
      <c r="R7" s="8">
        <f>SUM([2]Sheet1!R11,[2]Sheet1!R45,[2]Sheet1!R79,[2]Sheet1!R113)</f>
        <v>2752096.2186051058</v>
      </c>
      <c r="S7" s="8">
        <f>SUM([2]Sheet1!S11,[2]Sheet1!S45,[2]Sheet1!S79,[2]Sheet1!S113)</f>
        <v>2751292.8489637831</v>
      </c>
      <c r="T7" s="8"/>
      <c r="U7" s="8"/>
      <c r="V7" s="8"/>
      <c r="W7" s="8"/>
      <c r="X7" s="8"/>
      <c r="Y7" s="8"/>
      <c r="Z7" s="8"/>
      <c r="AA7" s="8"/>
      <c r="AB7" s="8"/>
      <c r="AC7" s="8"/>
      <c r="AD7" s="8"/>
      <c r="AE7" s="8"/>
    </row>
    <row r="8" spans="1:31">
      <c r="B8" s="4" t="s">
        <v>483</v>
      </c>
      <c r="C8" s="4" t="s">
        <v>490</v>
      </c>
      <c r="D8" s="8">
        <f>SUM([2]Sheet1!D12,[2]Sheet1!D46,[2]Sheet1!D80,[2]Sheet1!D114)</f>
        <v>1653732.8319631496</v>
      </c>
      <c r="E8" s="8">
        <f>SUM([2]Sheet1!E12,[2]Sheet1!E46,[2]Sheet1!E80,[2]Sheet1!E114)</f>
        <v>1716650.7033458415</v>
      </c>
      <c r="F8" s="8">
        <f>SUM([2]Sheet1!F12,[2]Sheet1!F46,[2]Sheet1!F80,[2]Sheet1!F114)</f>
        <v>1770963.6069462765</v>
      </c>
      <c r="G8" s="8">
        <f>SUM([2]Sheet1!G12,[2]Sheet1!G46,[2]Sheet1!G80,[2]Sheet1!G114)</f>
        <v>1819332.2828332386</v>
      </c>
      <c r="H8" s="8">
        <f>SUM([2]Sheet1!H12,[2]Sheet1!H46,[2]Sheet1!H80,[2]Sheet1!H114)</f>
        <v>1851042.2338490284</v>
      </c>
      <c r="I8" s="8">
        <f>SUM([2]Sheet1!I12,[2]Sheet1!I46,[2]Sheet1!I80,[2]Sheet1!I114)</f>
        <v>1874249.5671767336</v>
      </c>
      <c r="J8" s="8">
        <f>SUM([2]Sheet1!J12,[2]Sheet1!J46,[2]Sheet1!J80,[2]Sheet1!J114)</f>
        <v>1900679.4079160802</v>
      </c>
      <c r="K8" s="8">
        <f>SUM([2]Sheet1!K12,[2]Sheet1!K46,[2]Sheet1!K80,[2]Sheet1!K114)</f>
        <v>1934726.8962213343</v>
      </c>
      <c r="L8" s="8">
        <f>SUM([2]Sheet1!L12,[2]Sheet1!L46,[2]Sheet1!L80,[2]Sheet1!L114)</f>
        <v>1987808.4123348435</v>
      </c>
      <c r="M8" s="8">
        <f>SUM([2]Sheet1!M12,[2]Sheet1!M46,[2]Sheet1!M80,[2]Sheet1!M114)</f>
        <v>2072798.4034380994</v>
      </c>
      <c r="N8" s="8">
        <f>SUM([2]Sheet1!N12,[2]Sheet1!N46,[2]Sheet1!N80,[2]Sheet1!N114)</f>
        <v>2172623.3656895957</v>
      </c>
      <c r="O8" s="8">
        <f>SUM([2]Sheet1!O12,[2]Sheet1!O46,[2]Sheet1!O80,[2]Sheet1!O114)</f>
        <v>2278744.0749280108</v>
      </c>
      <c r="P8" s="8">
        <f>SUM([2]Sheet1!P12,[2]Sheet1!P46,[2]Sheet1!P80,[2]Sheet1!P114)</f>
        <v>2385369.0355849899</v>
      </c>
      <c r="Q8" s="8">
        <f>SUM([2]Sheet1!Q12,[2]Sheet1!Q46,[2]Sheet1!Q80,[2]Sheet1!Q114)</f>
        <v>2479554.3287178334</v>
      </c>
      <c r="R8" s="8">
        <f>SUM([2]Sheet1!R12,[2]Sheet1!R46,[2]Sheet1!R80,[2]Sheet1!R114)</f>
        <v>2562619.3937079408</v>
      </c>
      <c r="S8" s="8">
        <f>SUM([2]Sheet1!S12,[2]Sheet1!S46,[2]Sheet1!S80,[2]Sheet1!S114)</f>
        <v>2635256.503575874</v>
      </c>
      <c r="T8" s="8"/>
      <c r="U8" s="8"/>
      <c r="V8" s="8"/>
      <c r="W8" s="8"/>
      <c r="X8" s="8"/>
      <c r="Y8" s="8"/>
      <c r="Z8" s="8"/>
      <c r="AA8" s="8"/>
      <c r="AB8" s="8"/>
      <c r="AC8" s="8"/>
      <c r="AD8" s="8"/>
      <c r="AE8" s="8"/>
    </row>
    <row r="9" spans="1:31">
      <c r="B9" s="4" t="s">
        <v>483</v>
      </c>
      <c r="C9" s="4" t="s">
        <v>491</v>
      </c>
      <c r="D9" s="8">
        <f>SUM([2]Sheet1!D13,[2]Sheet1!D47,[2]Sheet1!D81,[2]Sheet1!D115)</f>
        <v>1414373.0044965709</v>
      </c>
      <c r="E9" s="8">
        <f>SUM([2]Sheet1!E13,[2]Sheet1!E47,[2]Sheet1!E81,[2]Sheet1!E115)</f>
        <v>1420869.2072946504</v>
      </c>
      <c r="F9" s="8">
        <f>SUM([2]Sheet1!F13,[2]Sheet1!F47,[2]Sheet1!F81,[2]Sheet1!F115)</f>
        <v>1431903.9888607357</v>
      </c>
      <c r="G9" s="8">
        <f>SUM([2]Sheet1!G13,[2]Sheet1!G47,[2]Sheet1!G81,[2]Sheet1!G115)</f>
        <v>1452433.2463546959</v>
      </c>
      <c r="H9" s="8">
        <f>SUM([2]Sheet1!H13,[2]Sheet1!H47,[2]Sheet1!H81,[2]Sheet1!H115)</f>
        <v>1491473.1043499697</v>
      </c>
      <c r="I9" s="8">
        <f>SUM([2]Sheet1!I13,[2]Sheet1!I47,[2]Sheet1!I81,[2]Sheet1!I115)</f>
        <v>1546519.7175218647</v>
      </c>
      <c r="J9" s="8">
        <f>SUM([2]Sheet1!J13,[2]Sheet1!J47,[2]Sheet1!J81,[2]Sheet1!J115)</f>
        <v>1604720.7955164511</v>
      </c>
      <c r="K9" s="8">
        <f>SUM([2]Sheet1!K13,[2]Sheet1!K47,[2]Sheet1!K81,[2]Sheet1!K115)</f>
        <v>1659282.8079045014</v>
      </c>
      <c r="L9" s="8">
        <f>SUM([2]Sheet1!L13,[2]Sheet1!L47,[2]Sheet1!L81,[2]Sheet1!L115)</f>
        <v>1713707.1156736603</v>
      </c>
      <c r="M9" s="8">
        <f>SUM([2]Sheet1!M13,[2]Sheet1!M47,[2]Sheet1!M81,[2]Sheet1!M115)</f>
        <v>1757109.7869231149</v>
      </c>
      <c r="N9" s="8">
        <f>SUM([2]Sheet1!N13,[2]Sheet1!N47,[2]Sheet1!N81,[2]Sheet1!N115)</f>
        <v>1794001.2462062663</v>
      </c>
      <c r="O9" s="8">
        <f>SUM([2]Sheet1!O13,[2]Sheet1!O47,[2]Sheet1!O81,[2]Sheet1!O115)</f>
        <v>1833509.1229587761</v>
      </c>
      <c r="P9" s="8">
        <f>SUM([2]Sheet1!P13,[2]Sheet1!P47,[2]Sheet1!P81,[2]Sheet1!P115)</f>
        <v>1878935.6546512195</v>
      </c>
      <c r="Q9" s="8">
        <f>SUM([2]Sheet1!Q13,[2]Sheet1!Q47,[2]Sheet1!Q81,[2]Sheet1!Q115)</f>
        <v>1941216.8112788366</v>
      </c>
      <c r="R9" s="8">
        <f>SUM([2]Sheet1!R13,[2]Sheet1!R47,[2]Sheet1!R81,[2]Sheet1!R115)</f>
        <v>2034400.3470311831</v>
      </c>
      <c r="S9" s="8">
        <f>SUM([2]Sheet1!S13,[2]Sheet1!S47,[2]Sheet1!S81,[2]Sheet1!S115)</f>
        <v>2142779.8164657601</v>
      </c>
      <c r="T9" s="8"/>
      <c r="U9" s="8"/>
      <c r="V9" s="8"/>
      <c r="W9" s="8"/>
      <c r="X9" s="8"/>
      <c r="Y9" s="8"/>
      <c r="Z9" s="8"/>
      <c r="AA9" s="8"/>
      <c r="AB9" s="8"/>
      <c r="AC9" s="8"/>
      <c r="AD9" s="8"/>
      <c r="AE9" s="8"/>
    </row>
    <row r="10" spans="1:31">
      <c r="B10" s="4" t="s">
        <v>483</v>
      </c>
      <c r="C10" s="4" t="s">
        <v>492</v>
      </c>
      <c r="D10" s="8">
        <f>SUM([2]Sheet1!D14,[2]Sheet1!D48,[2]Sheet1!D82,[2]Sheet1!D116)</f>
        <v>1240313.9526767186</v>
      </c>
      <c r="E10" s="8">
        <f>SUM([2]Sheet1!E14,[2]Sheet1!E48,[2]Sheet1!E82,[2]Sheet1!E116)</f>
        <v>1259516.7114286968</v>
      </c>
      <c r="F10" s="8">
        <f>SUM([2]Sheet1!F14,[2]Sheet1!F48,[2]Sheet1!F82,[2]Sheet1!F116)</f>
        <v>1273228.2464257113</v>
      </c>
      <c r="G10" s="8">
        <f>SUM([2]Sheet1!G14,[2]Sheet1!G48,[2]Sheet1!G82,[2]Sheet1!G116)</f>
        <v>1281361.3173492253</v>
      </c>
      <c r="H10" s="8">
        <f>SUM([2]Sheet1!H14,[2]Sheet1!H48,[2]Sheet1!H82,[2]Sheet1!H116)</f>
        <v>1283615.2585819953</v>
      </c>
      <c r="I10" s="8">
        <f>SUM([2]Sheet1!I14,[2]Sheet1!I48,[2]Sheet1!I82,[2]Sheet1!I116)</f>
        <v>1284655.5730017079</v>
      </c>
      <c r="J10" s="8">
        <f>SUM([2]Sheet1!J14,[2]Sheet1!J48,[2]Sheet1!J82,[2]Sheet1!J116)</f>
        <v>1289852.6277747478</v>
      </c>
      <c r="K10" s="8">
        <f>SUM([2]Sheet1!K14,[2]Sheet1!K48,[2]Sheet1!K82,[2]Sheet1!K116)</f>
        <v>1303083.4543068651</v>
      </c>
      <c r="L10" s="8">
        <f>SUM([2]Sheet1!L14,[2]Sheet1!L48,[2]Sheet1!L82,[2]Sheet1!L116)</f>
        <v>1329369.6342132085</v>
      </c>
      <c r="M10" s="8">
        <f>SUM([2]Sheet1!M14,[2]Sheet1!M48,[2]Sheet1!M82,[2]Sheet1!M116)</f>
        <v>1375987.7126456029</v>
      </c>
      <c r="N10" s="8">
        <f>SUM([2]Sheet1!N14,[2]Sheet1!N48,[2]Sheet1!N82,[2]Sheet1!N116)</f>
        <v>1438407.0719817255</v>
      </c>
      <c r="O10" s="8">
        <f>SUM([2]Sheet1!O14,[2]Sheet1!O48,[2]Sheet1!O82,[2]Sheet1!O116)</f>
        <v>1504598.5596316843</v>
      </c>
      <c r="P10" s="8">
        <f>SUM([2]Sheet1!P14,[2]Sheet1!P48,[2]Sheet1!P82,[2]Sheet1!P116)</f>
        <v>1567811.7179421098</v>
      </c>
      <c r="Q10" s="8">
        <f>SUM([2]Sheet1!Q14,[2]Sheet1!Q48,[2]Sheet1!Q82,[2]Sheet1!Q116)</f>
        <v>1629153.7237748303</v>
      </c>
      <c r="R10" s="8">
        <f>SUM([2]Sheet1!R14,[2]Sheet1!R48,[2]Sheet1!R82,[2]Sheet1!R116)</f>
        <v>1680008.2595614642</v>
      </c>
      <c r="S10" s="8">
        <f>SUM([2]Sheet1!S14,[2]Sheet1!S48,[2]Sheet1!S82,[2]Sheet1!S116)</f>
        <v>1725088.5749223563</v>
      </c>
      <c r="T10" s="8"/>
      <c r="U10" s="8"/>
      <c r="V10" s="8"/>
      <c r="W10" s="8"/>
      <c r="X10" s="8"/>
      <c r="Y10" s="8"/>
      <c r="Z10" s="8"/>
      <c r="AA10" s="8"/>
      <c r="AB10" s="8"/>
      <c r="AC10" s="8"/>
      <c r="AD10" s="8"/>
      <c r="AE10" s="8"/>
    </row>
    <row r="11" spans="1:31">
      <c r="B11" s="4" t="s">
        <v>483</v>
      </c>
      <c r="C11" s="4" t="s">
        <v>493</v>
      </c>
      <c r="D11" s="8">
        <f>SUM([2]Sheet1!D15,[2]Sheet1!D49,[2]Sheet1!D83,[2]Sheet1!D117)</f>
        <v>1034210.474130645</v>
      </c>
      <c r="E11" s="8">
        <f>SUM([2]Sheet1!E15,[2]Sheet1!E49,[2]Sheet1!E83,[2]Sheet1!E117)</f>
        <v>1053527.3239776583</v>
      </c>
      <c r="F11" s="8">
        <f>SUM([2]Sheet1!F15,[2]Sheet1!F49,[2]Sheet1!F83,[2]Sheet1!F117)</f>
        <v>1070185.7908790116</v>
      </c>
      <c r="G11" s="8">
        <f>SUM([2]Sheet1!G15,[2]Sheet1!G49,[2]Sheet1!G83,[2]Sheet1!G117)</f>
        <v>1085517.2708467168</v>
      </c>
      <c r="H11" s="8">
        <f>SUM([2]Sheet1!H15,[2]Sheet1!H49,[2]Sheet1!H83,[2]Sheet1!H117)</f>
        <v>1100598.0061934222</v>
      </c>
      <c r="I11" s="8">
        <f>SUM([2]Sheet1!I15,[2]Sheet1!I49,[2]Sheet1!I83,[2]Sheet1!I117)</f>
        <v>1116287.4734781992</v>
      </c>
      <c r="J11" s="8">
        <f>SUM([2]Sheet1!J15,[2]Sheet1!J49,[2]Sheet1!J83,[2]Sheet1!J117)</f>
        <v>1130975.0504669102</v>
      </c>
      <c r="K11" s="8">
        <f>SUM([2]Sheet1!K15,[2]Sheet1!K49,[2]Sheet1!K83,[2]Sheet1!K117)</f>
        <v>1144206.5526946674</v>
      </c>
      <c r="L11" s="8">
        <f>SUM([2]Sheet1!L15,[2]Sheet1!L49,[2]Sheet1!L83,[2]Sheet1!L117)</f>
        <v>1156280.2996445468</v>
      </c>
      <c r="M11" s="8">
        <f>SUM([2]Sheet1!M15,[2]Sheet1!M49,[2]Sheet1!M83,[2]Sheet1!M117)</f>
        <v>1166459.7196919955</v>
      </c>
      <c r="N11" s="8">
        <f>SUM([2]Sheet1!N15,[2]Sheet1!N49,[2]Sheet1!N83,[2]Sheet1!N117)</f>
        <v>1176172.6926462096</v>
      </c>
      <c r="O11" s="8">
        <f>SUM([2]Sheet1!O15,[2]Sheet1!O49,[2]Sheet1!O83,[2]Sheet1!O117)</f>
        <v>1189887.2034546123</v>
      </c>
      <c r="P11" s="8">
        <f>SUM([2]Sheet1!P15,[2]Sheet1!P49,[2]Sheet1!P83,[2]Sheet1!P117)</f>
        <v>1210780.7448623686</v>
      </c>
      <c r="Q11" s="8">
        <f>SUM([2]Sheet1!Q15,[2]Sheet1!Q49,[2]Sheet1!Q83,[2]Sheet1!Q117)</f>
        <v>1242088.1491068662</v>
      </c>
      <c r="R11" s="8">
        <f>SUM([2]Sheet1!R15,[2]Sheet1!R49,[2]Sheet1!R83,[2]Sheet1!R117)</f>
        <v>1291445.9617650248</v>
      </c>
      <c r="S11" s="8">
        <f>SUM([2]Sheet1!S15,[2]Sheet1!S49,[2]Sheet1!S83,[2]Sheet1!S117)</f>
        <v>1355592.2856924308</v>
      </c>
      <c r="T11" s="8"/>
      <c r="U11" s="8"/>
      <c r="V11" s="8"/>
      <c r="W11" s="8"/>
      <c r="X11" s="8"/>
      <c r="Y11" s="8"/>
      <c r="Z11" s="8"/>
      <c r="AA11" s="8"/>
      <c r="AB11" s="8"/>
      <c r="AC11" s="8"/>
      <c r="AD11" s="8"/>
      <c r="AE11" s="8"/>
    </row>
    <row r="12" spans="1:31">
      <c r="B12" s="4" t="s">
        <v>483</v>
      </c>
      <c r="C12" s="4" t="s">
        <v>494</v>
      </c>
      <c r="D12" s="8">
        <f>SUM([2]Sheet1!D16,[2]Sheet1!D50,[2]Sheet1!D84,[2]Sheet1!D118)</f>
        <v>814752.50266034598</v>
      </c>
      <c r="E12" s="8">
        <f>SUM([2]Sheet1!E16,[2]Sheet1!E50,[2]Sheet1!E84,[2]Sheet1!E118)</f>
        <v>840532.35219451971</v>
      </c>
      <c r="F12" s="8">
        <f>SUM([2]Sheet1!F16,[2]Sheet1!F50,[2]Sheet1!F84,[2]Sheet1!F118)</f>
        <v>863703.01522529975</v>
      </c>
      <c r="G12" s="8">
        <f>SUM([2]Sheet1!G16,[2]Sheet1!G50,[2]Sheet1!G84,[2]Sheet1!G118)</f>
        <v>883757.98864610691</v>
      </c>
      <c r="H12" s="8">
        <f>SUM([2]Sheet1!H16,[2]Sheet1!H50,[2]Sheet1!H84,[2]Sheet1!H118)</f>
        <v>900547.68451594841</v>
      </c>
      <c r="I12" s="8">
        <f>SUM([2]Sheet1!I16,[2]Sheet1!I50,[2]Sheet1!I84,[2]Sheet1!I118)</f>
        <v>915632.36087067588</v>
      </c>
      <c r="J12" s="8">
        <f>SUM([2]Sheet1!J16,[2]Sheet1!J50,[2]Sheet1!J84,[2]Sheet1!J118)</f>
        <v>930931.59841727384</v>
      </c>
      <c r="K12" s="8">
        <f>SUM([2]Sheet1!K16,[2]Sheet1!K50,[2]Sheet1!K84,[2]Sheet1!K118)</f>
        <v>946787.92433152068</v>
      </c>
      <c r="L12" s="8">
        <f>SUM([2]Sheet1!L16,[2]Sheet1!L50,[2]Sheet1!L84,[2]Sheet1!L118)</f>
        <v>964316.371556959</v>
      </c>
      <c r="M12" s="8">
        <f>SUM([2]Sheet1!M16,[2]Sheet1!M50,[2]Sheet1!M84,[2]Sheet1!M118)</f>
        <v>983945.29185842723</v>
      </c>
      <c r="N12" s="8">
        <f>SUM([2]Sheet1!N16,[2]Sheet1!N50,[2]Sheet1!N84,[2]Sheet1!N118)</f>
        <v>1004369.1540318729</v>
      </c>
      <c r="O12" s="8">
        <f>SUM([2]Sheet1!O16,[2]Sheet1!O50,[2]Sheet1!O84,[2]Sheet1!O118)</f>
        <v>1023548.6695208066</v>
      </c>
      <c r="P12" s="8">
        <f>SUM([2]Sheet1!P16,[2]Sheet1!P50,[2]Sheet1!P84,[2]Sheet1!P118)</f>
        <v>1041512.7087564993</v>
      </c>
      <c r="Q12" s="8">
        <f>SUM([2]Sheet1!Q16,[2]Sheet1!Q50,[2]Sheet1!Q84,[2]Sheet1!Q118)</f>
        <v>1057616.5442318977</v>
      </c>
      <c r="R12" s="8">
        <f>SUM([2]Sheet1!R16,[2]Sheet1!R50,[2]Sheet1!R84,[2]Sheet1!R118)</f>
        <v>1071527.0437071801</v>
      </c>
      <c r="S12" s="8">
        <f>SUM([2]Sheet1!S16,[2]Sheet1!S50,[2]Sheet1!S84,[2]Sheet1!S118)</f>
        <v>1085068.4313495818</v>
      </c>
      <c r="T12" s="8"/>
      <c r="U12" s="8"/>
      <c r="V12" s="8"/>
      <c r="W12" s="8"/>
      <c r="X12" s="8"/>
      <c r="Y12" s="8"/>
      <c r="Z12" s="8"/>
      <c r="AA12" s="8"/>
      <c r="AB12" s="8"/>
      <c r="AC12" s="8"/>
      <c r="AD12" s="8"/>
      <c r="AE12" s="8"/>
    </row>
    <row r="13" spans="1:31">
      <c r="B13" s="4" t="s">
        <v>483</v>
      </c>
      <c r="C13" s="4" t="s">
        <v>495</v>
      </c>
      <c r="D13" s="8">
        <f>SUM([2]Sheet1!D17,[2]Sheet1!D51,[2]Sheet1!D85,[2]Sheet1!D119)</f>
        <v>607102.76829578751</v>
      </c>
      <c r="E13" s="8">
        <f>SUM([2]Sheet1!E17,[2]Sheet1!E51,[2]Sheet1!E85,[2]Sheet1!E119)</f>
        <v>627727.5286117387</v>
      </c>
      <c r="F13" s="8">
        <f>SUM([2]Sheet1!F17,[2]Sheet1!F51,[2]Sheet1!F85,[2]Sheet1!F119)</f>
        <v>649083.56812729861</v>
      </c>
      <c r="G13" s="8">
        <f>SUM([2]Sheet1!G17,[2]Sheet1!G51,[2]Sheet1!G85,[2]Sheet1!G119)</f>
        <v>670677.90028681094</v>
      </c>
      <c r="H13" s="8">
        <f>SUM([2]Sheet1!H17,[2]Sheet1!H51,[2]Sheet1!H85,[2]Sheet1!H119)</f>
        <v>692475.68900708877</v>
      </c>
      <c r="I13" s="8">
        <f>SUM([2]Sheet1!I17,[2]Sheet1!I51,[2]Sheet1!I85,[2]Sheet1!I119)</f>
        <v>714689.06103030406</v>
      </c>
      <c r="J13" s="8">
        <f>SUM([2]Sheet1!J17,[2]Sheet1!J51,[2]Sheet1!J85,[2]Sheet1!J119)</f>
        <v>735419.66945885459</v>
      </c>
      <c r="K13" s="8">
        <f>SUM([2]Sheet1!K17,[2]Sheet1!K51,[2]Sheet1!K85,[2]Sheet1!K119)</f>
        <v>755623.23604148231</v>
      </c>
      <c r="L13" s="8">
        <f>SUM([2]Sheet1!L17,[2]Sheet1!L51,[2]Sheet1!L85,[2]Sheet1!L119)</f>
        <v>774975.4623960692</v>
      </c>
      <c r="M13" s="8">
        <f>SUM([2]Sheet1!M17,[2]Sheet1!M51,[2]Sheet1!M85,[2]Sheet1!M119)</f>
        <v>793115.16929893917</v>
      </c>
      <c r="N13" s="8">
        <f>SUM([2]Sheet1!N17,[2]Sheet1!N51,[2]Sheet1!N85,[2]Sheet1!N119)</f>
        <v>810119.69922582153</v>
      </c>
      <c r="O13" s="8">
        <f>SUM([2]Sheet1!O17,[2]Sheet1!O51,[2]Sheet1!O85,[2]Sheet1!O119)</f>
        <v>827259.60804414679</v>
      </c>
      <c r="P13" s="8">
        <f>SUM([2]Sheet1!P17,[2]Sheet1!P51,[2]Sheet1!P85,[2]Sheet1!P119)</f>
        <v>844872.12362755986</v>
      </c>
      <c r="Q13" s="8">
        <f>SUM([2]Sheet1!Q17,[2]Sheet1!Q51,[2]Sheet1!Q85,[2]Sheet1!Q119)</f>
        <v>863646.05529109412</v>
      </c>
      <c r="R13" s="8">
        <f>SUM([2]Sheet1!R17,[2]Sheet1!R51,[2]Sheet1!R85,[2]Sheet1!R119)</f>
        <v>884201.72648653307</v>
      </c>
      <c r="S13" s="8">
        <f>SUM([2]Sheet1!S17,[2]Sheet1!S51,[2]Sheet1!S85,[2]Sheet1!S119)</f>
        <v>905701.29966687993</v>
      </c>
      <c r="T13" s="8"/>
      <c r="U13" s="8"/>
      <c r="V13" s="8"/>
      <c r="W13" s="8"/>
      <c r="X13" s="8"/>
      <c r="Y13" s="8"/>
      <c r="Z13" s="8"/>
      <c r="AA13" s="8"/>
      <c r="AB13" s="8"/>
      <c r="AC13" s="8"/>
      <c r="AD13" s="8"/>
      <c r="AE13" s="8"/>
    </row>
    <row r="14" spans="1:31">
      <c r="B14" s="4" t="s">
        <v>483</v>
      </c>
      <c r="C14" s="4" t="s">
        <v>496</v>
      </c>
      <c r="D14" s="8">
        <f>SUM([2]Sheet1!D18,[2]Sheet1!D52,[2]Sheet1!D86,[2]Sheet1!D120)</f>
        <v>470381.2524254251</v>
      </c>
      <c r="E14" s="8">
        <f>SUM([2]Sheet1!E18,[2]Sheet1!E52,[2]Sheet1!E86,[2]Sheet1!E120)</f>
        <v>475946.82618020271</v>
      </c>
      <c r="F14" s="8">
        <f>SUM([2]Sheet1!F18,[2]Sheet1!F52,[2]Sheet1!F86,[2]Sheet1!F120)</f>
        <v>482482.05111586326</v>
      </c>
      <c r="G14" s="8">
        <f>SUM([2]Sheet1!G18,[2]Sheet1!G52,[2]Sheet1!G86,[2]Sheet1!G120)</f>
        <v>491358.57001219696</v>
      </c>
      <c r="H14" s="8">
        <f>SUM([2]Sheet1!H18,[2]Sheet1!H52,[2]Sheet1!H86,[2]Sheet1!H120)</f>
        <v>502722.73685002368</v>
      </c>
      <c r="I14" s="8">
        <f>SUM([2]Sheet1!I18,[2]Sheet1!I52,[2]Sheet1!I86,[2]Sheet1!I120)</f>
        <v>515901.52955487208</v>
      </c>
      <c r="J14" s="8">
        <f>SUM([2]Sheet1!J18,[2]Sheet1!J52,[2]Sheet1!J86,[2]Sheet1!J120)</f>
        <v>532613.10446075606</v>
      </c>
      <c r="K14" s="8">
        <f>SUM([2]Sheet1!K18,[2]Sheet1!K52,[2]Sheet1!K86,[2]Sheet1!K120)</f>
        <v>550755.62211782532</v>
      </c>
      <c r="L14" s="8">
        <f>SUM([2]Sheet1!L18,[2]Sheet1!L52,[2]Sheet1!L86,[2]Sheet1!L120)</f>
        <v>569910.38640425773</v>
      </c>
      <c r="M14" s="8">
        <f>SUM([2]Sheet1!M18,[2]Sheet1!M52,[2]Sheet1!M86,[2]Sheet1!M120)</f>
        <v>589940.67807867995</v>
      </c>
      <c r="N14" s="8">
        <f>SUM([2]Sheet1!N18,[2]Sheet1!N52,[2]Sheet1!N86,[2]Sheet1!N120)</f>
        <v>610641.01699351449</v>
      </c>
      <c r="O14" s="8">
        <f>SUM([2]Sheet1!O18,[2]Sheet1!O52,[2]Sheet1!O86,[2]Sheet1!O120)</f>
        <v>630220.9090150866</v>
      </c>
      <c r="P14" s="8">
        <f>SUM([2]Sheet1!P18,[2]Sheet1!P52,[2]Sheet1!P86,[2]Sheet1!P120)</f>
        <v>649411.63698208635</v>
      </c>
      <c r="Q14" s="8">
        <f>SUM([2]Sheet1!Q18,[2]Sheet1!Q52,[2]Sheet1!Q86,[2]Sheet1!Q120)</f>
        <v>667922.34408631455</v>
      </c>
      <c r="R14" s="8">
        <f>SUM([2]Sheet1!R18,[2]Sheet1!R52,[2]Sheet1!R86,[2]Sheet1!R120)</f>
        <v>685621.04131957493</v>
      </c>
      <c r="S14" s="8">
        <f>SUM([2]Sheet1!S18,[2]Sheet1!S52,[2]Sheet1!S86,[2]Sheet1!S120)</f>
        <v>702659.76811327343</v>
      </c>
      <c r="T14" s="8"/>
      <c r="U14" s="8"/>
      <c r="V14" s="8"/>
      <c r="W14" s="8"/>
      <c r="X14" s="8"/>
      <c r="Y14" s="8"/>
      <c r="Z14" s="8"/>
      <c r="AA14" s="8"/>
      <c r="AB14" s="8"/>
      <c r="AC14" s="8"/>
      <c r="AD14" s="8"/>
      <c r="AE14" s="8"/>
    </row>
    <row r="15" spans="1:31">
      <c r="B15" s="4" t="s">
        <v>483</v>
      </c>
      <c r="C15" s="4" t="s">
        <v>497</v>
      </c>
      <c r="D15" s="8">
        <f>SUM([2]Sheet1!D19,[2]Sheet1!D53,[2]Sheet1!D87,[2]Sheet1!D121)</f>
        <v>331636.75965279166</v>
      </c>
      <c r="E15" s="8">
        <f>SUM([2]Sheet1!E19,[2]Sheet1!E53,[2]Sheet1!E87,[2]Sheet1!E121)</f>
        <v>342334.90280453808</v>
      </c>
      <c r="F15" s="8">
        <f>SUM([2]Sheet1!F19,[2]Sheet1!F53,[2]Sheet1!F87,[2]Sheet1!F121)</f>
        <v>353657.41226394172</v>
      </c>
      <c r="G15" s="8">
        <f>SUM([2]Sheet1!G19,[2]Sheet1!G53,[2]Sheet1!G87,[2]Sheet1!G121)</f>
        <v>362753.38711743394</v>
      </c>
      <c r="H15" s="8">
        <f>SUM([2]Sheet1!H19,[2]Sheet1!H53,[2]Sheet1!H87,[2]Sheet1!H121)</f>
        <v>369356.75951917219</v>
      </c>
      <c r="I15" s="8">
        <f>SUM([2]Sheet1!I19,[2]Sheet1!I53,[2]Sheet1!I87,[2]Sheet1!I121)</f>
        <v>374556.5500456483</v>
      </c>
      <c r="J15" s="8">
        <f>SUM([2]Sheet1!J19,[2]Sheet1!J53,[2]Sheet1!J87,[2]Sheet1!J121)</f>
        <v>378910.92921442771</v>
      </c>
      <c r="K15" s="8">
        <f>SUM([2]Sheet1!K19,[2]Sheet1!K53,[2]Sheet1!K87,[2]Sheet1!K121)</f>
        <v>384635.42484986543</v>
      </c>
      <c r="L15" s="8">
        <f>SUM([2]Sheet1!L19,[2]Sheet1!L53,[2]Sheet1!L87,[2]Sheet1!L121)</f>
        <v>392745.46620449051</v>
      </c>
      <c r="M15" s="8">
        <f>SUM([2]Sheet1!M19,[2]Sheet1!M53,[2]Sheet1!M87,[2]Sheet1!M121)</f>
        <v>403252.14266681322</v>
      </c>
      <c r="N15" s="8">
        <f>SUM([2]Sheet1!N19,[2]Sheet1!N53,[2]Sheet1!N87,[2]Sheet1!N121)</f>
        <v>415419.18422201893</v>
      </c>
      <c r="O15" s="8">
        <f>SUM([2]Sheet1!O19,[2]Sheet1!O53,[2]Sheet1!O87,[2]Sheet1!O121)</f>
        <v>430451.81233014073</v>
      </c>
      <c r="P15" s="8">
        <f>SUM([2]Sheet1!P19,[2]Sheet1!P53,[2]Sheet1!P87,[2]Sheet1!P121)</f>
        <v>446579.0209714626</v>
      </c>
      <c r="Q15" s="8">
        <f>SUM([2]Sheet1!Q19,[2]Sheet1!Q53,[2]Sheet1!Q87,[2]Sheet1!Q121)</f>
        <v>463508.8130152917</v>
      </c>
      <c r="R15" s="8">
        <f>SUM([2]Sheet1!R19,[2]Sheet1!R53,[2]Sheet1!R87,[2]Sheet1!R121)</f>
        <v>481257.75725747575</v>
      </c>
      <c r="S15" s="8">
        <f>SUM([2]Sheet1!S19,[2]Sheet1!S53,[2]Sheet1!S87,[2]Sheet1!S121)</f>
        <v>499711.0902356953</v>
      </c>
      <c r="T15" s="8"/>
      <c r="U15" s="8"/>
      <c r="V15" s="8"/>
      <c r="W15" s="8"/>
      <c r="X15" s="8"/>
      <c r="Y15" s="8"/>
      <c r="Z15" s="8"/>
      <c r="AA15" s="8"/>
      <c r="AB15" s="8"/>
      <c r="AC15" s="8"/>
      <c r="AD15" s="8"/>
      <c r="AE15" s="8"/>
    </row>
    <row r="16" spans="1:31">
      <c r="B16" s="4" t="s">
        <v>483</v>
      </c>
      <c r="C16" s="4" t="s">
        <v>498</v>
      </c>
      <c r="D16" s="8">
        <f>SUM([2]Sheet1!D20,[2]Sheet1!D54,[2]Sheet1!D88,[2]Sheet1!D122)</f>
        <v>224877.10167049782</v>
      </c>
      <c r="E16" s="8">
        <f>SUM([2]Sheet1!E20,[2]Sheet1!E54,[2]Sheet1!E88,[2]Sheet1!E122)</f>
        <v>226187.92365083241</v>
      </c>
      <c r="F16" s="8">
        <f>SUM([2]Sheet1!F20,[2]Sheet1!F54,[2]Sheet1!F88,[2]Sheet1!F122)</f>
        <v>227083.55596033577</v>
      </c>
      <c r="G16" s="8">
        <f>SUM([2]Sheet1!G20,[2]Sheet1!G54,[2]Sheet1!G88,[2]Sheet1!G122)</f>
        <v>230022.38212844168</v>
      </c>
      <c r="H16" s="8">
        <f>SUM([2]Sheet1!H20,[2]Sheet1!H54,[2]Sheet1!H88,[2]Sheet1!H122)</f>
        <v>234909.79471916531</v>
      </c>
      <c r="I16" s="8">
        <f>SUM([2]Sheet1!I20,[2]Sheet1!I54,[2]Sheet1!I88,[2]Sheet1!I122)</f>
        <v>241754.62214847622</v>
      </c>
      <c r="J16" s="8">
        <f>SUM([2]Sheet1!J20,[2]Sheet1!J54,[2]Sheet1!J88,[2]Sheet1!J122)</f>
        <v>249767.47395681549</v>
      </c>
      <c r="K16" s="8">
        <f>SUM([2]Sheet1!K20,[2]Sheet1!K54,[2]Sheet1!K88,[2]Sheet1!K122)</f>
        <v>258393.25175279813</v>
      </c>
      <c r="L16" s="8">
        <f>SUM([2]Sheet1!L20,[2]Sheet1!L54,[2]Sheet1!L88,[2]Sheet1!L122)</f>
        <v>265760.40083917469</v>
      </c>
      <c r="M16" s="8">
        <f>SUM([2]Sheet1!M20,[2]Sheet1!M54,[2]Sheet1!M88,[2]Sheet1!M122)</f>
        <v>271635.1879601815</v>
      </c>
      <c r="N16" s="8">
        <f>SUM([2]Sheet1!N20,[2]Sheet1!N54,[2]Sheet1!N88,[2]Sheet1!N122)</f>
        <v>276711.65566054214</v>
      </c>
      <c r="O16" s="8">
        <f>SUM([2]Sheet1!O20,[2]Sheet1!O54,[2]Sheet1!O88,[2]Sheet1!O122)</f>
        <v>281313.58563671116</v>
      </c>
      <c r="P16" s="8">
        <f>SUM([2]Sheet1!P20,[2]Sheet1!P54,[2]Sheet1!P88,[2]Sheet1!P122)</f>
        <v>286971.56045053265</v>
      </c>
      <c r="Q16" s="8">
        <f>SUM([2]Sheet1!Q20,[2]Sheet1!Q54,[2]Sheet1!Q88,[2]Sheet1!Q122)</f>
        <v>294449.79902846797</v>
      </c>
      <c r="R16" s="8">
        <f>SUM([2]Sheet1!R20,[2]Sheet1!R54,[2]Sheet1!R88,[2]Sheet1!R122)</f>
        <v>303849.53934690234</v>
      </c>
      <c r="S16" s="8">
        <f>SUM([2]Sheet1!S20,[2]Sheet1!S54,[2]Sheet1!S88,[2]Sheet1!S122)</f>
        <v>314643.87020421983</v>
      </c>
      <c r="T16" s="8"/>
      <c r="U16" s="8"/>
      <c r="V16" s="8"/>
      <c r="W16" s="8"/>
      <c r="X16" s="8"/>
      <c r="Y16" s="8"/>
      <c r="Z16" s="8"/>
      <c r="AA16" s="8"/>
      <c r="AB16" s="8"/>
      <c r="AC16" s="8"/>
      <c r="AD16" s="8"/>
      <c r="AE16" s="8"/>
    </row>
    <row r="17" spans="2:31">
      <c r="B17" s="4" t="s">
        <v>483</v>
      </c>
      <c r="C17" s="4" t="s">
        <v>499</v>
      </c>
      <c r="D17" s="8">
        <f>SUM([2]Sheet1!D21,[2]Sheet1!D55,[2]Sheet1!D89,[2]Sheet1!D123)</f>
        <v>136113.41047285518</v>
      </c>
      <c r="E17" s="8">
        <f>SUM([2]Sheet1!E21,[2]Sheet1!E55,[2]Sheet1!E89,[2]Sheet1!E123)</f>
        <v>137889.03151454381</v>
      </c>
      <c r="F17" s="8">
        <f>SUM([2]Sheet1!F21,[2]Sheet1!F55,[2]Sheet1!F89,[2]Sheet1!F123)</f>
        <v>139850.104920388</v>
      </c>
      <c r="G17" s="8">
        <f>SUM([2]Sheet1!G21,[2]Sheet1!G55,[2]Sheet1!G89,[2]Sheet1!G123)</f>
        <v>141670.58791028697</v>
      </c>
      <c r="H17" s="8">
        <f>SUM([2]Sheet1!H21,[2]Sheet1!H55,[2]Sheet1!H89,[2]Sheet1!H123)</f>
        <v>143069.40738170873</v>
      </c>
      <c r="I17" s="8">
        <f>SUM([2]Sheet1!I21,[2]Sheet1!I55,[2]Sheet1!I89,[2]Sheet1!I123)</f>
        <v>144325.56363142564</v>
      </c>
      <c r="J17" s="8">
        <f>SUM([2]Sheet1!J21,[2]Sheet1!J55,[2]Sheet1!J89,[2]Sheet1!J123)</f>
        <v>145506.70857403637</v>
      </c>
      <c r="K17" s="8">
        <f>SUM([2]Sheet1!K21,[2]Sheet1!K55,[2]Sheet1!K89,[2]Sheet1!K123)</f>
        <v>146644.51519230643</v>
      </c>
      <c r="L17" s="8">
        <f>SUM([2]Sheet1!L21,[2]Sheet1!L55,[2]Sheet1!L89,[2]Sheet1!L123)</f>
        <v>149308.73729902838</v>
      </c>
      <c r="M17" s="8">
        <f>SUM([2]Sheet1!M21,[2]Sheet1!M55,[2]Sheet1!M89,[2]Sheet1!M123)</f>
        <v>153411.16205776282</v>
      </c>
      <c r="N17" s="8">
        <f>SUM([2]Sheet1!N21,[2]Sheet1!N55,[2]Sheet1!N89,[2]Sheet1!N123)</f>
        <v>158851.94076045998</v>
      </c>
      <c r="O17" s="8">
        <f>SUM([2]Sheet1!O21,[2]Sheet1!O55,[2]Sheet1!O89,[2]Sheet1!O123)</f>
        <v>165125.51247979311</v>
      </c>
      <c r="P17" s="8">
        <f>SUM([2]Sheet1!P21,[2]Sheet1!P55,[2]Sheet1!P89,[2]Sheet1!P123)</f>
        <v>171712.7804442051</v>
      </c>
      <c r="Q17" s="8">
        <f>SUM([2]Sheet1!Q21,[2]Sheet1!Q55,[2]Sheet1!Q89,[2]Sheet1!Q123)</f>
        <v>177526.82683254255</v>
      </c>
      <c r="R17" s="8">
        <f>SUM([2]Sheet1!R21,[2]Sheet1!R55,[2]Sheet1!R89,[2]Sheet1!R123)</f>
        <v>182495.24687006572</v>
      </c>
      <c r="S17" s="8">
        <f>SUM([2]Sheet1!S21,[2]Sheet1!S55,[2]Sheet1!S89,[2]Sheet1!S123)</f>
        <v>187084.46060608642</v>
      </c>
      <c r="T17" s="8"/>
      <c r="U17" s="8"/>
      <c r="V17" s="8"/>
      <c r="W17" s="8"/>
      <c r="X17" s="8"/>
      <c r="Y17" s="8"/>
      <c r="Z17" s="8"/>
      <c r="AA17" s="8"/>
      <c r="AB17" s="8"/>
      <c r="AC17" s="8"/>
      <c r="AD17" s="8"/>
      <c r="AE17" s="8"/>
    </row>
    <row r="18" spans="2:31">
      <c r="B18" s="4" t="s">
        <v>483</v>
      </c>
      <c r="C18" s="4" t="s">
        <v>500</v>
      </c>
      <c r="D18" s="8">
        <f>SUM([2]Sheet1!D22,[2]Sheet1!D56,[2]Sheet1!D90,[2]Sheet1!D124)</f>
        <v>106228.95107064996</v>
      </c>
      <c r="E18" s="8">
        <f>SUM([2]Sheet1!E22,[2]Sheet1!E56,[2]Sheet1!E90,[2]Sheet1!E124)</f>
        <v>107716.99456097675</v>
      </c>
      <c r="F18" s="8">
        <f>SUM([2]Sheet1!F22,[2]Sheet1!F56,[2]Sheet1!F90,[2]Sheet1!F124)</f>
        <v>109064.07331907432</v>
      </c>
      <c r="G18" s="8">
        <f>SUM([2]Sheet1!G22,[2]Sheet1!G56,[2]Sheet1!G90,[2]Sheet1!G124)</f>
        <v>110344.67798154335</v>
      </c>
      <c r="H18" s="8">
        <f>SUM([2]Sheet1!H22,[2]Sheet1!H56,[2]Sheet1!H90,[2]Sheet1!H124)</f>
        <v>112108.22965897596</v>
      </c>
      <c r="I18" s="8">
        <f>SUM([2]Sheet1!I22,[2]Sheet1!I56,[2]Sheet1!I90,[2]Sheet1!I124)</f>
        <v>113866.35964732076</v>
      </c>
      <c r="J18" s="8">
        <f>SUM([2]Sheet1!J22,[2]Sheet1!J56,[2]Sheet1!J90,[2]Sheet1!J124)</f>
        <v>115740.72937423378</v>
      </c>
      <c r="K18" s="8">
        <f>SUM([2]Sheet1!K22,[2]Sheet1!K56,[2]Sheet1!K90,[2]Sheet1!K124)</f>
        <v>117780.48351091867</v>
      </c>
      <c r="L18" s="8">
        <f>SUM([2]Sheet1!L22,[2]Sheet1!L56,[2]Sheet1!L90,[2]Sheet1!L124)</f>
        <v>119842.54733242658</v>
      </c>
      <c r="M18" s="8">
        <f>SUM([2]Sheet1!M22,[2]Sheet1!M56,[2]Sheet1!M90,[2]Sheet1!M124)</f>
        <v>122047.4577375052</v>
      </c>
      <c r="N18" s="8">
        <f>SUM([2]Sheet1!N22,[2]Sheet1!N56,[2]Sheet1!N90,[2]Sheet1!N124)</f>
        <v>124196.59346915706</v>
      </c>
      <c r="O18" s="8">
        <f>SUM([2]Sheet1!O22,[2]Sheet1!O56,[2]Sheet1!O90,[2]Sheet1!O124)</f>
        <v>126408.65320709298</v>
      </c>
      <c r="P18" s="8">
        <f>SUM([2]Sheet1!P22,[2]Sheet1!P56,[2]Sheet1!P90,[2]Sheet1!P124)</f>
        <v>128738.12313684807</v>
      </c>
      <c r="Q18" s="8">
        <f>SUM([2]Sheet1!Q22,[2]Sheet1!Q56,[2]Sheet1!Q90,[2]Sheet1!Q124)</f>
        <v>132008.80657211767</v>
      </c>
      <c r="R18" s="8">
        <f>SUM([2]Sheet1!R22,[2]Sheet1!R56,[2]Sheet1!R90,[2]Sheet1!R124)</f>
        <v>136233.55382356065</v>
      </c>
      <c r="S18" s="8">
        <f>SUM([2]Sheet1!S22,[2]Sheet1!S56,[2]Sheet1!S90,[2]Sheet1!S124)</f>
        <v>141215.3225497384</v>
      </c>
      <c r="T18" s="8"/>
      <c r="U18" s="8"/>
      <c r="V18" s="8"/>
      <c r="W18" s="8"/>
      <c r="X18" s="8"/>
      <c r="Y18" s="8"/>
      <c r="Z18" s="8"/>
      <c r="AA18" s="8"/>
      <c r="AB18" s="8"/>
      <c r="AC18" s="8"/>
      <c r="AD18" s="8"/>
      <c r="AE18" s="8"/>
    </row>
    <row r="19" spans="2:31">
      <c r="B19" s="4" t="s">
        <v>501</v>
      </c>
      <c r="C19" s="4" t="s">
        <v>484</v>
      </c>
      <c r="D19" s="8">
        <f>SUM([2]Sheet1!D23,[2]Sheet1!D57,[2]Sheet1!D91,[2]Sheet1!D125)</f>
        <v>2344983.5922747836</v>
      </c>
      <c r="E19" s="8">
        <f>SUM([2]Sheet1!E23,[2]Sheet1!E57,[2]Sheet1!E91,[2]Sheet1!E125)</f>
        <v>2344690.4576547071</v>
      </c>
      <c r="F19" s="8">
        <f>SUM([2]Sheet1!F23,[2]Sheet1!F57,[2]Sheet1!F91,[2]Sheet1!F125)</f>
        <v>2375055.1503935256</v>
      </c>
      <c r="G19" s="8">
        <f>SUM([2]Sheet1!G23,[2]Sheet1!G57,[2]Sheet1!G91,[2]Sheet1!G125)</f>
        <v>2424333.6105767726</v>
      </c>
      <c r="H19" s="8">
        <f>SUM([2]Sheet1!H23,[2]Sheet1!H57,[2]Sheet1!H91,[2]Sheet1!H125)</f>
        <v>2506187.6427789042</v>
      </c>
      <c r="I19" s="8">
        <f>SUM([2]Sheet1!I23,[2]Sheet1!I57,[2]Sheet1!I91,[2]Sheet1!I125)</f>
        <v>2607498.3186374218</v>
      </c>
      <c r="J19" s="8">
        <f>SUM([2]Sheet1!J23,[2]Sheet1!J57,[2]Sheet1!J91,[2]Sheet1!J125)</f>
        <v>2712847.9418493938</v>
      </c>
      <c r="K19" s="8">
        <f>SUM([2]Sheet1!K23,[2]Sheet1!K57,[2]Sheet1!K91,[2]Sheet1!K125)</f>
        <v>2790366.9492815025</v>
      </c>
      <c r="L19" s="8">
        <f>SUM([2]Sheet1!L23,[2]Sheet1!L57,[2]Sheet1!L91,[2]Sheet1!L125)</f>
        <v>2845136.4057310862</v>
      </c>
      <c r="M19" s="8">
        <f>SUM([2]Sheet1!M23,[2]Sheet1!M57,[2]Sheet1!M91,[2]Sheet1!M125)</f>
        <v>2878586.5940013444</v>
      </c>
      <c r="N19" s="8">
        <f>SUM([2]Sheet1!N23,[2]Sheet1!N57,[2]Sheet1!N91,[2]Sheet1!N125)</f>
        <v>2895522.4970890828</v>
      </c>
      <c r="O19" s="8">
        <f>SUM([2]Sheet1!O23,[2]Sheet1!O57,[2]Sheet1!O91,[2]Sheet1!O125)</f>
        <v>2905556.9705545753</v>
      </c>
      <c r="P19" s="8">
        <f>SUM([2]Sheet1!P23,[2]Sheet1!P57,[2]Sheet1!P91,[2]Sheet1!P125)</f>
        <v>2913545.6512265364</v>
      </c>
      <c r="Q19" s="8">
        <f>SUM([2]Sheet1!Q23,[2]Sheet1!Q57,[2]Sheet1!Q91,[2]Sheet1!Q125)</f>
        <v>2919750.0220190878</v>
      </c>
      <c r="R19" s="8">
        <f>SUM([2]Sheet1!R23,[2]Sheet1!R57,[2]Sheet1!R91,[2]Sheet1!R125)</f>
        <v>2922788.9812859613</v>
      </c>
      <c r="S19" s="8">
        <f>SUM([2]Sheet1!S23,[2]Sheet1!S57,[2]Sheet1!S91,[2]Sheet1!S125)</f>
        <v>2920261.4274772308</v>
      </c>
      <c r="T19" s="8"/>
      <c r="U19" s="8"/>
      <c r="V19" s="8"/>
      <c r="W19" s="8"/>
      <c r="X19" s="8"/>
      <c r="Y19" s="8"/>
      <c r="Z19" s="8"/>
      <c r="AA19" s="8"/>
      <c r="AB19" s="8"/>
      <c r="AC19" s="8"/>
      <c r="AD19" s="8"/>
      <c r="AE19" s="8"/>
    </row>
    <row r="20" spans="2:31">
      <c r="B20" s="4" t="s">
        <v>501</v>
      </c>
      <c r="C20" s="4" t="s">
        <v>485</v>
      </c>
      <c r="D20" s="8">
        <f>SUM([2]Sheet1!D24,[2]Sheet1!D58,[2]Sheet1!D92,[2]Sheet1!D126)</f>
        <v>2494403.1903595864</v>
      </c>
      <c r="E20" s="8">
        <f>SUM([2]Sheet1!E24,[2]Sheet1!E58,[2]Sheet1!E92,[2]Sheet1!E126)</f>
        <v>2446413.7334528388</v>
      </c>
      <c r="F20" s="8">
        <f>SUM([2]Sheet1!F24,[2]Sheet1!F58,[2]Sheet1!F92,[2]Sheet1!F126)</f>
        <v>2406455.4791143369</v>
      </c>
      <c r="G20" s="8">
        <f>SUM([2]Sheet1!G24,[2]Sheet1!G58,[2]Sheet1!G92,[2]Sheet1!G126)</f>
        <v>2379071.4473119848</v>
      </c>
      <c r="H20" s="8">
        <f>SUM([2]Sheet1!H24,[2]Sheet1!H58,[2]Sheet1!H92,[2]Sheet1!H126)</f>
        <v>2348394.9061699323</v>
      </c>
      <c r="I20" s="8">
        <f>SUM([2]Sheet1!I24,[2]Sheet1!I58,[2]Sheet1!I92,[2]Sheet1!I126)</f>
        <v>2330300.465740575</v>
      </c>
      <c r="J20" s="8">
        <f>SUM([2]Sheet1!J24,[2]Sheet1!J58,[2]Sheet1!J92,[2]Sheet1!J126)</f>
        <v>2323119.3441772233</v>
      </c>
      <c r="K20" s="8">
        <f>SUM([2]Sheet1!K24,[2]Sheet1!K58,[2]Sheet1!K92,[2]Sheet1!K126)</f>
        <v>2346840.8277398697</v>
      </c>
      <c r="L20" s="8">
        <f>SUM([2]Sheet1!L24,[2]Sheet1!L58,[2]Sheet1!L92,[2]Sheet1!L126)</f>
        <v>2388619.2998715872</v>
      </c>
      <c r="M20" s="8">
        <f>SUM([2]Sheet1!M24,[2]Sheet1!M58,[2]Sheet1!M92,[2]Sheet1!M126)</f>
        <v>2462278.0471763369</v>
      </c>
      <c r="N20" s="8">
        <f>SUM([2]Sheet1!N24,[2]Sheet1!N58,[2]Sheet1!N92,[2]Sheet1!N126)</f>
        <v>2559071.0308297602</v>
      </c>
      <c r="O20" s="8">
        <f>SUM([2]Sheet1!O24,[2]Sheet1!O58,[2]Sheet1!O92,[2]Sheet1!O126)</f>
        <v>2663090.743699844</v>
      </c>
      <c r="P20" s="8">
        <f>SUM([2]Sheet1!P24,[2]Sheet1!P58,[2]Sheet1!P92,[2]Sheet1!P126)</f>
        <v>2744589.8870925959</v>
      </c>
      <c r="Q20" s="8">
        <f>SUM([2]Sheet1!Q24,[2]Sheet1!Q58,[2]Sheet1!Q92,[2]Sheet1!Q126)</f>
        <v>2806997.0754570393</v>
      </c>
      <c r="R20" s="8">
        <f>SUM([2]Sheet1!R24,[2]Sheet1!R58,[2]Sheet1!R92,[2]Sheet1!R126)</f>
        <v>2849053.7150437837</v>
      </c>
      <c r="S20" s="8">
        <f>SUM([2]Sheet1!S24,[2]Sheet1!S58,[2]Sheet1!S92,[2]Sheet1!S126)</f>
        <v>2875651.2742645727</v>
      </c>
      <c r="T20" s="8"/>
      <c r="U20" s="8"/>
      <c r="V20" s="8"/>
      <c r="W20" s="8"/>
      <c r="X20" s="8"/>
      <c r="Y20" s="8"/>
      <c r="Z20" s="8"/>
      <c r="AA20" s="8"/>
      <c r="AB20" s="8"/>
      <c r="AC20" s="8"/>
      <c r="AD20" s="8"/>
      <c r="AE20" s="8"/>
    </row>
    <row r="21" spans="2:31">
      <c r="B21" s="4" t="s">
        <v>501</v>
      </c>
      <c r="C21" s="4" t="s">
        <v>486</v>
      </c>
      <c r="D21" s="8">
        <f>SUM([2]Sheet1!D25,[2]Sheet1!D59,[2]Sheet1!D93,[2]Sheet1!D127)</f>
        <v>2676264.6808006493</v>
      </c>
      <c r="E21" s="8">
        <f>SUM([2]Sheet1!E25,[2]Sheet1!E59,[2]Sheet1!E93,[2]Sheet1!E127)</f>
        <v>2656987.3523386768</v>
      </c>
      <c r="F21" s="8">
        <f>SUM([2]Sheet1!F25,[2]Sheet1!F59,[2]Sheet1!F93,[2]Sheet1!F127)</f>
        <v>2626854.828035295</v>
      </c>
      <c r="G21" s="8">
        <f>SUM([2]Sheet1!G25,[2]Sheet1!G59,[2]Sheet1!G93,[2]Sheet1!G127)</f>
        <v>2592103.7697304715</v>
      </c>
      <c r="H21" s="8">
        <f>SUM([2]Sheet1!H25,[2]Sheet1!H59,[2]Sheet1!H93,[2]Sheet1!H127)</f>
        <v>2556288.2624215418</v>
      </c>
      <c r="I21" s="8">
        <f>SUM([2]Sheet1!I25,[2]Sheet1!I59,[2]Sheet1!I93,[2]Sheet1!I127)</f>
        <v>2505723.2000020081</v>
      </c>
      <c r="J21" s="8">
        <f>SUM([2]Sheet1!J25,[2]Sheet1!J59,[2]Sheet1!J93,[2]Sheet1!J127)</f>
        <v>2448571.4813848482</v>
      </c>
      <c r="K21" s="8">
        <f>SUM([2]Sheet1!K25,[2]Sheet1!K59,[2]Sheet1!K93,[2]Sheet1!K127)</f>
        <v>2401520.5223718905</v>
      </c>
      <c r="L21" s="8">
        <f>SUM([2]Sheet1!L25,[2]Sheet1!L59,[2]Sheet1!L93,[2]Sheet1!L127)</f>
        <v>2366665.0458610705</v>
      </c>
      <c r="M21" s="8">
        <f>SUM([2]Sheet1!M25,[2]Sheet1!M59,[2]Sheet1!M93,[2]Sheet1!M127)</f>
        <v>2328568.2940117181</v>
      </c>
      <c r="N21" s="8">
        <f>SUM([2]Sheet1!N25,[2]Sheet1!N59,[2]Sheet1!N93,[2]Sheet1!N127)</f>
        <v>2306656.227595903</v>
      </c>
      <c r="O21" s="8">
        <f>SUM([2]Sheet1!O25,[2]Sheet1!O59,[2]Sheet1!O93,[2]Sheet1!O127)</f>
        <v>2298613.7034824532</v>
      </c>
      <c r="P21" s="8">
        <f>SUM([2]Sheet1!P25,[2]Sheet1!P59,[2]Sheet1!P93,[2]Sheet1!P127)</f>
        <v>2321841.3836357901</v>
      </c>
      <c r="Q21" s="8">
        <f>SUM([2]Sheet1!Q25,[2]Sheet1!Q59,[2]Sheet1!Q93,[2]Sheet1!Q127)</f>
        <v>2365788.013964205</v>
      </c>
      <c r="R21" s="8">
        <f>SUM([2]Sheet1!R25,[2]Sheet1!R59,[2]Sheet1!R93,[2]Sheet1!R127)</f>
        <v>2443770.1253022384</v>
      </c>
      <c r="S21" s="8">
        <f>SUM([2]Sheet1!S25,[2]Sheet1!S59,[2]Sheet1!S93,[2]Sheet1!S127)</f>
        <v>2546421.6314461427</v>
      </c>
      <c r="T21" s="8"/>
      <c r="U21" s="8"/>
      <c r="V21" s="8"/>
      <c r="W21" s="8"/>
      <c r="X21" s="8"/>
      <c r="Y21" s="8"/>
      <c r="Z21" s="8"/>
      <c r="AA21" s="8"/>
      <c r="AB21" s="8"/>
      <c r="AC21" s="8"/>
      <c r="AD21" s="8"/>
      <c r="AE21" s="8"/>
    </row>
    <row r="22" spans="2:31">
      <c r="B22" s="4" t="s">
        <v>501</v>
      </c>
      <c r="C22" s="4" t="s">
        <v>487</v>
      </c>
      <c r="D22" s="8">
        <f>SUM([2]Sheet1!D26,[2]Sheet1!D60,[2]Sheet1!D94,[2]Sheet1!D128)</f>
        <v>2556495.9277705974</v>
      </c>
      <c r="E22" s="8">
        <f>SUM([2]Sheet1!E26,[2]Sheet1!E60,[2]Sheet1!E94,[2]Sheet1!E128)</f>
        <v>2616821.0894819917</v>
      </c>
      <c r="F22" s="8">
        <f>SUM([2]Sheet1!F26,[2]Sheet1!F60,[2]Sheet1!F94,[2]Sheet1!F128)</f>
        <v>2666762.8603729312</v>
      </c>
      <c r="G22" s="8">
        <f>SUM([2]Sheet1!G26,[2]Sheet1!G60,[2]Sheet1!G94,[2]Sheet1!G128)</f>
        <v>2699094.2141649271</v>
      </c>
      <c r="H22" s="8">
        <f>SUM([2]Sheet1!H26,[2]Sheet1!H60,[2]Sheet1!H94,[2]Sheet1!H128)</f>
        <v>2706076.1105017937</v>
      </c>
      <c r="I22" s="8">
        <f>SUM([2]Sheet1!I26,[2]Sheet1!I60,[2]Sheet1!I94,[2]Sheet1!I128)</f>
        <v>2694714.3366090916</v>
      </c>
      <c r="J22" s="8">
        <f>SUM([2]Sheet1!J26,[2]Sheet1!J60,[2]Sheet1!J94,[2]Sheet1!J128)</f>
        <v>2666665.0032345154</v>
      </c>
      <c r="K22" s="8">
        <f>SUM([2]Sheet1!K26,[2]Sheet1!K60,[2]Sheet1!K94,[2]Sheet1!K128)</f>
        <v>2629417.7124756873</v>
      </c>
      <c r="L22" s="8">
        <f>SUM([2]Sheet1!L26,[2]Sheet1!L60,[2]Sheet1!L94,[2]Sheet1!L128)</f>
        <v>2586712.5936848954</v>
      </c>
      <c r="M22" s="8">
        <f>SUM([2]Sheet1!M26,[2]Sheet1!M60,[2]Sheet1!M94,[2]Sheet1!M128)</f>
        <v>2542647.2393379794</v>
      </c>
      <c r="N22" s="8">
        <f>SUM([2]Sheet1!N26,[2]Sheet1!N60,[2]Sheet1!N94,[2]Sheet1!N128)</f>
        <v>2488061.8275276124</v>
      </c>
      <c r="O22" s="8">
        <f>SUM([2]Sheet1!O26,[2]Sheet1!O60,[2]Sheet1!O94,[2]Sheet1!O128)</f>
        <v>2430436.0507147312</v>
      </c>
      <c r="P22" s="8">
        <f>SUM([2]Sheet1!P26,[2]Sheet1!P60,[2]Sheet1!P94,[2]Sheet1!P128)</f>
        <v>2383631.0414106352</v>
      </c>
      <c r="Q22" s="8">
        <f>SUM([2]Sheet1!Q26,[2]Sheet1!Q60,[2]Sheet1!Q94,[2]Sheet1!Q128)</f>
        <v>2351936.1978930258</v>
      </c>
      <c r="R22" s="8">
        <f>SUM([2]Sheet1!R26,[2]Sheet1!R60,[2]Sheet1!R94,[2]Sheet1!R128)</f>
        <v>2319575.0437826612</v>
      </c>
      <c r="S22" s="8">
        <f>SUM([2]Sheet1!S26,[2]Sheet1!S60,[2]Sheet1!S94,[2]Sheet1!S128)</f>
        <v>2304284.0221368643</v>
      </c>
      <c r="T22" s="8"/>
      <c r="U22" s="8"/>
      <c r="V22" s="8"/>
      <c r="W22" s="8"/>
      <c r="X22" s="8"/>
      <c r="Y22" s="8"/>
      <c r="Z22" s="8"/>
      <c r="AA22" s="8"/>
      <c r="AB22" s="8"/>
      <c r="AC22" s="8"/>
      <c r="AD22" s="8"/>
      <c r="AE22" s="8"/>
    </row>
    <row r="23" spans="2:31">
      <c r="B23" s="4" t="s">
        <v>501</v>
      </c>
      <c r="C23" s="4" t="s">
        <v>488</v>
      </c>
      <c r="D23" s="8">
        <f>SUM([2]Sheet1!D27,[2]Sheet1!D61,[2]Sheet1!D95,[2]Sheet1!D129)</f>
        <v>2178717.8731500185</v>
      </c>
      <c r="E23" s="8">
        <f>SUM([2]Sheet1!E27,[2]Sheet1!E61,[2]Sheet1!E95,[2]Sheet1!E129)</f>
        <v>2271054.6536445571</v>
      </c>
      <c r="F23" s="8">
        <f>SUM([2]Sheet1!F27,[2]Sheet1!F61,[2]Sheet1!F95,[2]Sheet1!F129)</f>
        <v>2362127.3876364501</v>
      </c>
      <c r="G23" s="8">
        <f>SUM([2]Sheet1!G27,[2]Sheet1!G61,[2]Sheet1!G95,[2]Sheet1!G129)</f>
        <v>2451082.237306668</v>
      </c>
      <c r="H23" s="8">
        <f>SUM([2]Sheet1!H27,[2]Sheet1!H61,[2]Sheet1!H95,[2]Sheet1!H129)</f>
        <v>2524454.3970235302</v>
      </c>
      <c r="I23" s="8">
        <f>SUM([2]Sheet1!I27,[2]Sheet1!I61,[2]Sheet1!I95,[2]Sheet1!I129)</f>
        <v>2585901.7843568362</v>
      </c>
      <c r="J23" s="8">
        <f>SUM([2]Sheet1!J27,[2]Sheet1!J61,[2]Sheet1!J95,[2]Sheet1!J129)</f>
        <v>2641762.7255985751</v>
      </c>
      <c r="K23" s="8">
        <f>SUM([2]Sheet1!K27,[2]Sheet1!K61,[2]Sheet1!K95,[2]Sheet1!K129)</f>
        <v>2688322.6169160963</v>
      </c>
      <c r="L23" s="8">
        <f>SUM([2]Sheet1!L27,[2]Sheet1!L61,[2]Sheet1!L95,[2]Sheet1!L129)</f>
        <v>2715827.6027244139</v>
      </c>
      <c r="M23" s="8">
        <f>SUM([2]Sheet1!M27,[2]Sheet1!M61,[2]Sheet1!M95,[2]Sheet1!M129)</f>
        <v>2717467.6265149461</v>
      </c>
      <c r="N23" s="8">
        <f>SUM([2]Sheet1!N27,[2]Sheet1!N61,[2]Sheet1!N95,[2]Sheet1!N129)</f>
        <v>2704653.5001201699</v>
      </c>
      <c r="O23" s="8">
        <f>SUM([2]Sheet1!O27,[2]Sheet1!O61,[2]Sheet1!O95,[2]Sheet1!O129)</f>
        <v>2678694.0630741562</v>
      </c>
      <c r="P23" s="8">
        <f>SUM([2]Sheet1!P27,[2]Sheet1!P61,[2]Sheet1!P95,[2]Sheet1!P129)</f>
        <v>2644262.5526147932</v>
      </c>
      <c r="Q23" s="8">
        <f>SUM([2]Sheet1!Q27,[2]Sheet1!Q61,[2]Sheet1!Q95,[2]Sheet1!Q129)</f>
        <v>2607467.754745347</v>
      </c>
      <c r="R23" s="8">
        <f>SUM([2]Sheet1!R27,[2]Sheet1!R61,[2]Sheet1!R95,[2]Sheet1!R129)</f>
        <v>2571845.9367150427</v>
      </c>
      <c r="S23" s="8">
        <f>SUM([2]Sheet1!S27,[2]Sheet1!S61,[2]Sheet1!S95,[2]Sheet1!S129)</f>
        <v>2526937.2369979741</v>
      </c>
      <c r="T23" s="8"/>
      <c r="U23" s="8"/>
      <c r="V23" s="8"/>
      <c r="W23" s="8"/>
      <c r="X23" s="8"/>
      <c r="Y23" s="8"/>
      <c r="Z23" s="8"/>
      <c r="AA23" s="8"/>
      <c r="AB23" s="8"/>
      <c r="AC23" s="8"/>
      <c r="AD23" s="8"/>
      <c r="AE23" s="8"/>
    </row>
    <row r="24" spans="2:31">
      <c r="B24" s="4" t="s">
        <v>501</v>
      </c>
      <c r="C24" s="4" t="s">
        <v>489</v>
      </c>
      <c r="D24" s="8">
        <f>SUM([2]Sheet1!D28,[2]Sheet1!D62,[2]Sheet1!D96,[2]Sheet1!D130)</f>
        <v>1918966.6231761393</v>
      </c>
      <c r="E24" s="8">
        <f>SUM([2]Sheet1!E28,[2]Sheet1!E62,[2]Sheet1!E96,[2]Sheet1!E130)</f>
        <v>1936845.2591374554</v>
      </c>
      <c r="F24" s="8">
        <f>SUM([2]Sheet1!F28,[2]Sheet1!F62,[2]Sheet1!F96,[2]Sheet1!F130)</f>
        <v>1962772.8536281188</v>
      </c>
      <c r="G24" s="8">
        <f>SUM([2]Sheet1!G28,[2]Sheet1!G62,[2]Sheet1!G96,[2]Sheet1!G130)</f>
        <v>2005892.0603399104</v>
      </c>
      <c r="H24" s="8">
        <f>SUM([2]Sheet1!H28,[2]Sheet1!H62,[2]Sheet1!H96,[2]Sheet1!H130)</f>
        <v>2083509.2746003985</v>
      </c>
      <c r="I24" s="8">
        <f>SUM([2]Sheet1!I28,[2]Sheet1!I62,[2]Sheet1!I96,[2]Sheet1!I130)</f>
        <v>2176092.6744755041</v>
      </c>
      <c r="J24" s="8">
        <f>SUM([2]Sheet1!J28,[2]Sheet1!J62,[2]Sheet1!J96,[2]Sheet1!J130)</f>
        <v>2273059.0280612623</v>
      </c>
      <c r="K24" s="8">
        <f>SUM([2]Sheet1!K28,[2]Sheet1!K62,[2]Sheet1!K96,[2]Sheet1!K130)</f>
        <v>2368024.7514624433</v>
      </c>
      <c r="L24" s="8">
        <f>SUM([2]Sheet1!L28,[2]Sheet1!L62,[2]Sheet1!L96,[2]Sheet1!L130)</f>
        <v>2459304.5114334365</v>
      </c>
      <c r="M24" s="8">
        <f>SUM([2]Sheet1!M28,[2]Sheet1!M62,[2]Sheet1!M96,[2]Sheet1!M130)</f>
        <v>2534666.1892032642</v>
      </c>
      <c r="N24" s="8">
        <f>SUM([2]Sheet1!N28,[2]Sheet1!N62,[2]Sheet1!N96,[2]Sheet1!N130)</f>
        <v>2600507.0284008244</v>
      </c>
      <c r="O24" s="8">
        <f>SUM([2]Sheet1!O28,[2]Sheet1!O62,[2]Sheet1!O96,[2]Sheet1!O130)</f>
        <v>2662779.0364503008</v>
      </c>
      <c r="P24" s="8">
        <f>SUM([2]Sheet1!P28,[2]Sheet1!P62,[2]Sheet1!P96,[2]Sheet1!P130)</f>
        <v>2715430.3365264274</v>
      </c>
      <c r="Q24" s="8">
        <f>SUM([2]Sheet1!Q28,[2]Sheet1!Q62,[2]Sheet1!Q96,[2]Sheet1!Q130)</f>
        <v>2751872.7891952903</v>
      </c>
      <c r="R24" s="8">
        <f>SUM([2]Sheet1!R28,[2]Sheet1!R62,[2]Sheet1!R96,[2]Sheet1!R130)</f>
        <v>2765955.0211466602</v>
      </c>
      <c r="S24" s="8">
        <f>SUM([2]Sheet1!S28,[2]Sheet1!S62,[2]Sheet1!S96,[2]Sheet1!S130)</f>
        <v>2767011.8655370576</v>
      </c>
      <c r="T24" s="8"/>
      <c r="U24" s="8"/>
      <c r="V24" s="8"/>
      <c r="W24" s="8"/>
      <c r="X24" s="8"/>
      <c r="Y24" s="8"/>
      <c r="Z24" s="8"/>
      <c r="AA24" s="8"/>
      <c r="AB24" s="8"/>
      <c r="AC24" s="8"/>
      <c r="AD24" s="8"/>
      <c r="AE24" s="8"/>
    </row>
    <row r="25" spans="2:31">
      <c r="B25" s="4" t="s">
        <v>501</v>
      </c>
      <c r="C25" s="4" t="s">
        <v>490</v>
      </c>
      <c r="D25" s="8">
        <f>SUM([2]Sheet1!D29,[2]Sheet1!D63,[2]Sheet1!D97,[2]Sheet1!D131)</f>
        <v>1779414.1308026365</v>
      </c>
      <c r="E25" s="8">
        <f>SUM([2]Sheet1!E29,[2]Sheet1!E63,[2]Sheet1!E97,[2]Sheet1!E131)</f>
        <v>1787017.7849738379</v>
      </c>
      <c r="F25" s="8">
        <f>SUM([2]Sheet1!F29,[2]Sheet1!F63,[2]Sheet1!F97,[2]Sheet1!F131)</f>
        <v>1797127.0742289505</v>
      </c>
      <c r="G25" s="8">
        <f>SUM([2]Sheet1!G29,[2]Sheet1!G63,[2]Sheet1!G97,[2]Sheet1!G131)</f>
        <v>1806383.8900453988</v>
      </c>
      <c r="H25" s="8">
        <f>SUM([2]Sheet1!H29,[2]Sheet1!H63,[2]Sheet1!H97,[2]Sheet1!H131)</f>
        <v>1817188.2010282455</v>
      </c>
      <c r="I25" s="8">
        <f>SUM([2]Sheet1!I29,[2]Sheet1!I63,[2]Sheet1!I97,[2]Sheet1!I131)</f>
        <v>1832439.1643527753</v>
      </c>
      <c r="J25" s="8">
        <f>SUM([2]Sheet1!J29,[2]Sheet1!J63,[2]Sheet1!J97,[2]Sheet1!J131)</f>
        <v>1856654.7403300449</v>
      </c>
      <c r="K25" s="8">
        <f>SUM([2]Sheet1!K29,[2]Sheet1!K63,[2]Sheet1!K97,[2]Sheet1!K131)</f>
        <v>1892144.2161354907</v>
      </c>
      <c r="L25" s="8">
        <f>SUM([2]Sheet1!L29,[2]Sheet1!L63,[2]Sheet1!L97,[2]Sheet1!L131)</f>
        <v>1946646.0880797545</v>
      </c>
      <c r="M25" s="8">
        <f>SUM([2]Sheet1!M29,[2]Sheet1!M63,[2]Sheet1!M97,[2]Sheet1!M131)</f>
        <v>2035731.8268357639</v>
      </c>
      <c r="N25" s="8">
        <f>SUM([2]Sheet1!N29,[2]Sheet1!N63,[2]Sheet1!N97,[2]Sheet1!N131)</f>
        <v>2138965.9563517049</v>
      </c>
      <c r="O25" s="8">
        <f>SUM([2]Sheet1!O29,[2]Sheet1!O63,[2]Sheet1!O97,[2]Sheet1!O131)</f>
        <v>2246129.3752120649</v>
      </c>
      <c r="P25" s="8">
        <f>SUM([2]Sheet1!P29,[2]Sheet1!P63,[2]Sheet1!P97,[2]Sheet1!P131)</f>
        <v>2351029.1590842283</v>
      </c>
      <c r="Q25" s="8">
        <f>SUM([2]Sheet1!Q29,[2]Sheet1!Q63,[2]Sheet1!Q97,[2]Sheet1!Q131)</f>
        <v>2452317.6107869637</v>
      </c>
      <c r="R25" s="8">
        <f>SUM([2]Sheet1!R29,[2]Sheet1!R63,[2]Sheet1!R97,[2]Sheet1!R131)</f>
        <v>2539363.2227157126</v>
      </c>
      <c r="S25" s="8">
        <f>SUM([2]Sheet1!S29,[2]Sheet1!S63,[2]Sheet1!S97,[2]Sheet1!S131)</f>
        <v>2618476.1925114365</v>
      </c>
      <c r="T25" s="8"/>
      <c r="U25" s="8"/>
      <c r="V25" s="8"/>
      <c r="W25" s="8"/>
      <c r="X25" s="8"/>
      <c r="Y25" s="8"/>
      <c r="Z25" s="8"/>
      <c r="AA25" s="8"/>
      <c r="AB25" s="8"/>
      <c r="AC25" s="8"/>
      <c r="AD25" s="8"/>
      <c r="AE25" s="8"/>
    </row>
    <row r="26" spans="2:31">
      <c r="B26" s="4" t="s">
        <v>501</v>
      </c>
      <c r="C26" s="4" t="s">
        <v>491</v>
      </c>
      <c r="D26" s="8">
        <f>SUM([2]Sheet1!D30,[2]Sheet1!D64,[2]Sheet1!D98,[2]Sheet1!D132)</f>
        <v>1642096.0319126931</v>
      </c>
      <c r="E26" s="8">
        <f>SUM([2]Sheet1!E30,[2]Sheet1!E64,[2]Sheet1!E98,[2]Sheet1!E132)</f>
        <v>1648393.6499930636</v>
      </c>
      <c r="F26" s="8">
        <f>SUM([2]Sheet1!F30,[2]Sheet1!F64,[2]Sheet1!F98,[2]Sheet1!F132)</f>
        <v>1647080.5279278457</v>
      </c>
      <c r="G26" s="8">
        <f>SUM([2]Sheet1!G30,[2]Sheet1!G64,[2]Sheet1!G98,[2]Sheet1!G132)</f>
        <v>1641368.6063667263</v>
      </c>
      <c r="H26" s="8">
        <f>SUM([2]Sheet1!H30,[2]Sheet1!H64,[2]Sheet1!H98,[2]Sheet1!H132)</f>
        <v>1631613.6750165252</v>
      </c>
      <c r="I26" s="8">
        <f>SUM([2]Sheet1!I30,[2]Sheet1!I64,[2]Sheet1!I98,[2]Sheet1!I132)</f>
        <v>1628201.3243612831</v>
      </c>
      <c r="J26" s="8">
        <f>SUM([2]Sheet1!J30,[2]Sheet1!J64,[2]Sheet1!J98,[2]Sheet1!J132)</f>
        <v>1635076.4155470517</v>
      </c>
      <c r="K26" s="8">
        <f>SUM([2]Sheet1!K30,[2]Sheet1!K64,[2]Sheet1!K98,[2]Sheet1!K132)</f>
        <v>1650240.4194820663</v>
      </c>
      <c r="L26" s="8">
        <f>SUM([2]Sheet1!L30,[2]Sheet1!L64,[2]Sheet1!L98,[2]Sheet1!L132)</f>
        <v>1672263.0024591764</v>
      </c>
      <c r="M26" s="8">
        <f>SUM([2]Sheet1!M30,[2]Sheet1!M64,[2]Sheet1!M98,[2]Sheet1!M132)</f>
        <v>1701559.395333298</v>
      </c>
      <c r="N26" s="8">
        <f>SUM([2]Sheet1!N30,[2]Sheet1!N64,[2]Sheet1!N98,[2]Sheet1!N132)</f>
        <v>1734822.4567588056</v>
      </c>
      <c r="O26" s="8">
        <f>SUM([2]Sheet1!O30,[2]Sheet1!O64,[2]Sheet1!O98,[2]Sheet1!O132)</f>
        <v>1774881.7709789607</v>
      </c>
      <c r="P26" s="8">
        <f>SUM([2]Sheet1!P30,[2]Sheet1!P64,[2]Sheet1!P98,[2]Sheet1!P132)</f>
        <v>1824490.1330635822</v>
      </c>
      <c r="Q26" s="8">
        <f>SUM([2]Sheet1!Q30,[2]Sheet1!Q64,[2]Sheet1!Q98,[2]Sheet1!Q132)</f>
        <v>1889949.5009571237</v>
      </c>
      <c r="R26" s="8">
        <f>SUM([2]Sheet1!R30,[2]Sheet1!R64,[2]Sheet1!R98,[2]Sheet1!R132)</f>
        <v>1988075.9628010623</v>
      </c>
      <c r="S26" s="8">
        <f>SUM([2]Sheet1!S30,[2]Sheet1!S64,[2]Sheet1!S98,[2]Sheet1!S132)</f>
        <v>2100757.0553932535</v>
      </c>
      <c r="T26" s="8"/>
      <c r="U26" s="8"/>
      <c r="V26" s="8"/>
      <c r="W26" s="8"/>
      <c r="X26" s="8"/>
      <c r="Y26" s="8"/>
      <c r="Z26" s="8"/>
      <c r="AA26" s="8"/>
      <c r="AB26" s="8"/>
      <c r="AC26" s="8"/>
      <c r="AD26" s="8"/>
      <c r="AE26" s="8"/>
    </row>
    <row r="27" spans="2:31">
      <c r="B27" s="4" t="s">
        <v>501</v>
      </c>
      <c r="C27" s="4" t="s">
        <v>492</v>
      </c>
      <c r="D27" s="8">
        <f>SUM([2]Sheet1!D31,[2]Sheet1!D65,[2]Sheet1!D99,[2]Sheet1!D133)</f>
        <v>1402027.6533103944</v>
      </c>
      <c r="E27" s="8">
        <f>SUM([2]Sheet1!E31,[2]Sheet1!E65,[2]Sheet1!E99,[2]Sheet1!E133)</f>
        <v>1426047.7995350808</v>
      </c>
      <c r="F27" s="8">
        <f>SUM([2]Sheet1!F31,[2]Sheet1!F65,[2]Sheet1!F99,[2]Sheet1!F133)</f>
        <v>1446181.6642364541</v>
      </c>
      <c r="G27" s="8">
        <f>SUM([2]Sheet1!G31,[2]Sheet1!G65,[2]Sheet1!G99,[2]Sheet1!G133)</f>
        <v>1462550.4670548316</v>
      </c>
      <c r="H27" s="8">
        <f>SUM([2]Sheet1!H31,[2]Sheet1!H65,[2]Sheet1!H99,[2]Sheet1!H133)</f>
        <v>1475326.5846899678</v>
      </c>
      <c r="I27" s="8">
        <f>SUM([2]Sheet1!I31,[2]Sheet1!I65,[2]Sheet1!I99,[2]Sheet1!I133)</f>
        <v>1480037.3834871426</v>
      </c>
      <c r="J27" s="8">
        <f>SUM([2]Sheet1!J31,[2]Sheet1!J65,[2]Sheet1!J99,[2]Sheet1!J133)</f>
        <v>1482362.1489303811</v>
      </c>
      <c r="K27" s="8">
        <f>SUM([2]Sheet1!K31,[2]Sheet1!K65,[2]Sheet1!K99,[2]Sheet1!K133)</f>
        <v>1482190.3740225662</v>
      </c>
      <c r="L27" s="8">
        <f>SUM([2]Sheet1!L31,[2]Sheet1!L65,[2]Sheet1!L99,[2]Sheet1!L133)</f>
        <v>1485350.6397509773</v>
      </c>
      <c r="M27" s="8">
        <f>SUM([2]Sheet1!M31,[2]Sheet1!M65,[2]Sheet1!M99,[2]Sheet1!M133)</f>
        <v>1491688.9758731932</v>
      </c>
      <c r="N27" s="8">
        <f>SUM([2]Sheet1!N31,[2]Sheet1!N65,[2]Sheet1!N99,[2]Sheet1!N133)</f>
        <v>1504514.6858033591</v>
      </c>
      <c r="O27" s="8">
        <f>SUM([2]Sheet1!O31,[2]Sheet1!O65,[2]Sheet1!O99,[2]Sheet1!O133)</f>
        <v>1526365.4917804026</v>
      </c>
      <c r="P27" s="8">
        <f>SUM([2]Sheet1!P31,[2]Sheet1!P65,[2]Sheet1!P99,[2]Sheet1!P133)</f>
        <v>1555757.569276219</v>
      </c>
      <c r="Q27" s="8">
        <f>SUM([2]Sheet1!Q31,[2]Sheet1!Q65,[2]Sheet1!Q99,[2]Sheet1!Q133)</f>
        <v>1588360.6352088826</v>
      </c>
      <c r="R27" s="8">
        <f>SUM([2]Sheet1!R31,[2]Sheet1!R65,[2]Sheet1!R99,[2]Sheet1!R133)</f>
        <v>1625854.9578729572</v>
      </c>
      <c r="S27" s="8">
        <f>SUM([2]Sheet1!S31,[2]Sheet1!S65,[2]Sheet1!S99,[2]Sheet1!S133)</f>
        <v>1667342.4943241491</v>
      </c>
      <c r="T27" s="8"/>
      <c r="U27" s="8"/>
      <c r="V27" s="8"/>
      <c r="W27" s="8"/>
      <c r="X27" s="8"/>
      <c r="Y27" s="8"/>
      <c r="Z27" s="8"/>
      <c r="AA27" s="8"/>
      <c r="AB27" s="8"/>
      <c r="AC27" s="8"/>
      <c r="AD27" s="8"/>
      <c r="AE27" s="8"/>
    </row>
    <row r="28" spans="2:31">
      <c r="B28" s="4" t="s">
        <v>501</v>
      </c>
      <c r="C28" s="4" t="s">
        <v>493</v>
      </c>
      <c r="D28" s="8">
        <f>SUM([2]Sheet1!D32,[2]Sheet1!D66,[2]Sheet1!D100,[2]Sheet1!D134)</f>
        <v>1185286.6686835042</v>
      </c>
      <c r="E28" s="8">
        <f>SUM([2]Sheet1!E32,[2]Sheet1!E66,[2]Sheet1!E100,[2]Sheet1!E134)</f>
        <v>1212180.0515144523</v>
      </c>
      <c r="F28" s="8">
        <f>SUM([2]Sheet1!F32,[2]Sheet1!F66,[2]Sheet1!F100,[2]Sheet1!F134)</f>
        <v>1229803.7698387392</v>
      </c>
      <c r="G28" s="8">
        <f>SUM([2]Sheet1!G32,[2]Sheet1!G66,[2]Sheet1!G100,[2]Sheet1!G134)</f>
        <v>1244678.3021730746</v>
      </c>
      <c r="H28" s="8">
        <f>SUM([2]Sheet1!H32,[2]Sheet1!H66,[2]Sheet1!H100,[2]Sheet1!H134)</f>
        <v>1257151.5344251695</v>
      </c>
      <c r="I28" s="8">
        <f>SUM([2]Sheet1!I32,[2]Sheet1!I66,[2]Sheet1!I100,[2]Sheet1!I134)</f>
        <v>1276536.1545844849</v>
      </c>
      <c r="J28" s="8">
        <f>SUM([2]Sheet1!J32,[2]Sheet1!J66,[2]Sheet1!J100,[2]Sheet1!J134)</f>
        <v>1295031.4997696059</v>
      </c>
      <c r="K28" s="8">
        <f>SUM([2]Sheet1!K32,[2]Sheet1!K66,[2]Sheet1!K100,[2]Sheet1!K134)</f>
        <v>1313293.3848658907</v>
      </c>
      <c r="L28" s="8">
        <f>SUM([2]Sheet1!L32,[2]Sheet1!L66,[2]Sheet1!L100,[2]Sheet1!L134)</f>
        <v>1332685.5720439134</v>
      </c>
      <c r="M28" s="8">
        <f>SUM([2]Sheet1!M32,[2]Sheet1!M66,[2]Sheet1!M100,[2]Sheet1!M134)</f>
        <v>1353404.6592401951</v>
      </c>
      <c r="N28" s="8">
        <f>SUM([2]Sheet1!N32,[2]Sheet1!N66,[2]Sheet1!N100,[2]Sheet1!N134)</f>
        <v>1367540.3781677291</v>
      </c>
      <c r="O28" s="8">
        <f>SUM([2]Sheet1!O32,[2]Sheet1!O66,[2]Sheet1!O100,[2]Sheet1!O134)</f>
        <v>1379252.9572288836</v>
      </c>
      <c r="P28" s="8">
        <f>SUM([2]Sheet1!P32,[2]Sheet1!P66,[2]Sheet1!P100,[2]Sheet1!P134)</f>
        <v>1389633.6552545663</v>
      </c>
      <c r="Q28" s="8">
        <f>SUM([2]Sheet1!Q32,[2]Sheet1!Q66,[2]Sheet1!Q100,[2]Sheet1!Q134)</f>
        <v>1400866.5597875512</v>
      </c>
      <c r="R28" s="8">
        <f>SUM([2]Sheet1!R32,[2]Sheet1!R66,[2]Sheet1!R100,[2]Sheet1!R134)</f>
        <v>1413409.8626961482</v>
      </c>
      <c r="S28" s="8">
        <f>SUM([2]Sheet1!S32,[2]Sheet1!S66,[2]Sheet1!S100,[2]Sheet1!S134)</f>
        <v>1431997.4800720459</v>
      </c>
      <c r="T28" s="8"/>
      <c r="U28" s="8"/>
      <c r="V28" s="8"/>
      <c r="W28" s="8"/>
      <c r="X28" s="8"/>
      <c r="Y28" s="8"/>
      <c r="Z28" s="8"/>
      <c r="AA28" s="8"/>
      <c r="AB28" s="8"/>
      <c r="AC28" s="8"/>
      <c r="AD28" s="8"/>
      <c r="AE28" s="8"/>
    </row>
    <row r="29" spans="2:31">
      <c r="B29" s="4" t="s">
        <v>501</v>
      </c>
      <c r="C29" s="4" t="s">
        <v>494</v>
      </c>
      <c r="D29" s="8">
        <f>SUM([2]Sheet1!D33,[2]Sheet1!D67,[2]Sheet1!D101,[2]Sheet1!D135)</f>
        <v>949477.85179764708</v>
      </c>
      <c r="E29" s="8">
        <f>SUM([2]Sheet1!E33,[2]Sheet1!E67,[2]Sheet1!E101,[2]Sheet1!E135)</f>
        <v>976492.80186084006</v>
      </c>
      <c r="F29" s="8">
        <f>SUM([2]Sheet1!F33,[2]Sheet1!F67,[2]Sheet1!F101,[2]Sheet1!F135)</f>
        <v>1005786.1024701957</v>
      </c>
      <c r="G29" s="8">
        <f>SUM([2]Sheet1!G33,[2]Sheet1!G67,[2]Sheet1!G101,[2]Sheet1!G135)</f>
        <v>1031518.1793366233</v>
      </c>
      <c r="H29" s="8">
        <f>SUM([2]Sheet1!H33,[2]Sheet1!H67,[2]Sheet1!H101,[2]Sheet1!H135)</f>
        <v>1053524.1967533669</v>
      </c>
      <c r="I29" s="8">
        <f>SUM([2]Sheet1!I33,[2]Sheet1!I67,[2]Sheet1!I101,[2]Sheet1!I135)</f>
        <v>1073534.8238687986</v>
      </c>
      <c r="J29" s="8">
        <f>SUM([2]Sheet1!J33,[2]Sheet1!J67,[2]Sheet1!J101,[2]Sheet1!J135)</f>
        <v>1096342.3754344778</v>
      </c>
      <c r="K29" s="8">
        <f>SUM([2]Sheet1!K33,[2]Sheet1!K67,[2]Sheet1!K101,[2]Sheet1!K135)</f>
        <v>1113999.7931359564</v>
      </c>
      <c r="L29" s="8">
        <f>SUM([2]Sheet1!L33,[2]Sheet1!L67,[2]Sheet1!L101,[2]Sheet1!L135)</f>
        <v>1132558.8040899944</v>
      </c>
      <c r="M29" s="8">
        <f>SUM([2]Sheet1!M33,[2]Sheet1!M67,[2]Sheet1!M101,[2]Sheet1!M135)</f>
        <v>1151946.2506453583</v>
      </c>
      <c r="N29" s="8">
        <f>SUM([2]Sheet1!N33,[2]Sheet1!N67,[2]Sheet1!N101,[2]Sheet1!N135)</f>
        <v>1177523.7123978955</v>
      </c>
      <c r="O29" s="8">
        <f>SUM([2]Sheet1!O33,[2]Sheet1!O67,[2]Sheet1!O101,[2]Sheet1!O135)</f>
        <v>1201280.2350876799</v>
      </c>
      <c r="P29" s="8">
        <f>SUM([2]Sheet1!P33,[2]Sheet1!P67,[2]Sheet1!P101,[2]Sheet1!P135)</f>
        <v>1225141.2891459153</v>
      </c>
      <c r="Q29" s="8">
        <f>SUM([2]Sheet1!Q33,[2]Sheet1!Q67,[2]Sheet1!Q101,[2]Sheet1!Q135)</f>
        <v>1249018.712737343</v>
      </c>
      <c r="R29" s="8">
        <f>SUM([2]Sheet1!R33,[2]Sheet1!R67,[2]Sheet1!R101,[2]Sheet1!R135)</f>
        <v>1273231.8512455069</v>
      </c>
      <c r="S29" s="8">
        <f>SUM([2]Sheet1!S33,[2]Sheet1!S67,[2]Sheet1!S101,[2]Sheet1!S135)</f>
        <v>1291517.6332961721</v>
      </c>
      <c r="T29" s="8"/>
      <c r="U29" s="8"/>
      <c r="V29" s="8"/>
      <c r="W29" s="8"/>
      <c r="X29" s="8"/>
      <c r="Y29" s="8"/>
      <c r="Z29" s="8"/>
      <c r="AA29" s="8"/>
      <c r="AB29" s="8"/>
      <c r="AC29" s="8"/>
      <c r="AD29" s="8"/>
      <c r="AE29" s="8"/>
    </row>
    <row r="30" spans="2:31">
      <c r="B30" s="4" t="s">
        <v>501</v>
      </c>
      <c r="C30" s="4" t="s">
        <v>495</v>
      </c>
      <c r="D30" s="8">
        <f>SUM([2]Sheet1!D34,[2]Sheet1!D68,[2]Sheet1!D102,[2]Sheet1!D136)</f>
        <v>722286.31152572401</v>
      </c>
      <c r="E30" s="8">
        <f>SUM([2]Sheet1!E34,[2]Sheet1!E68,[2]Sheet1!E102,[2]Sheet1!E136)</f>
        <v>751445.26964750851</v>
      </c>
      <c r="F30" s="8">
        <f>SUM([2]Sheet1!F34,[2]Sheet1!F68,[2]Sheet1!F102,[2]Sheet1!F136)</f>
        <v>780700.01735918457</v>
      </c>
      <c r="G30" s="8">
        <f>SUM([2]Sheet1!G34,[2]Sheet1!G68,[2]Sheet1!G102,[2]Sheet1!G136)</f>
        <v>808676.66620096704</v>
      </c>
      <c r="H30" s="8">
        <f>SUM([2]Sheet1!H34,[2]Sheet1!H68,[2]Sheet1!H102,[2]Sheet1!H136)</f>
        <v>835139.93541952025</v>
      </c>
      <c r="I30" s="8">
        <f>SUM([2]Sheet1!I34,[2]Sheet1!I68,[2]Sheet1!I102,[2]Sheet1!I136)</f>
        <v>860929.8657717224</v>
      </c>
      <c r="J30" s="8">
        <f>SUM([2]Sheet1!J34,[2]Sheet1!J68,[2]Sheet1!J102,[2]Sheet1!J136)</f>
        <v>884138.63359455473</v>
      </c>
      <c r="K30" s="8">
        <f>SUM([2]Sheet1!K34,[2]Sheet1!K68,[2]Sheet1!K102,[2]Sheet1!K136)</f>
        <v>911154.6441733609</v>
      </c>
      <c r="L30" s="8">
        <f>SUM([2]Sheet1!L34,[2]Sheet1!L68,[2]Sheet1!L102,[2]Sheet1!L136)</f>
        <v>937038.00349771907</v>
      </c>
      <c r="M30" s="8">
        <f>SUM([2]Sheet1!M34,[2]Sheet1!M68,[2]Sheet1!M102,[2]Sheet1!M136)</f>
        <v>961567.6688079806</v>
      </c>
      <c r="N30" s="8">
        <f>SUM([2]Sheet1!N34,[2]Sheet1!N68,[2]Sheet1!N102,[2]Sheet1!N136)</f>
        <v>984498.89171542064</v>
      </c>
      <c r="O30" s="8">
        <f>SUM([2]Sheet1!O34,[2]Sheet1!O68,[2]Sheet1!O102,[2]Sheet1!O136)</f>
        <v>1009743.010148451</v>
      </c>
      <c r="P30" s="8">
        <f>SUM([2]Sheet1!P34,[2]Sheet1!P68,[2]Sheet1!P102,[2]Sheet1!P136)</f>
        <v>1030315.2787757871</v>
      </c>
      <c r="Q30" s="8">
        <f>SUM([2]Sheet1!Q34,[2]Sheet1!Q68,[2]Sheet1!Q102,[2]Sheet1!Q136)</f>
        <v>1051283.4096340458</v>
      </c>
      <c r="R30" s="8">
        <f>SUM([2]Sheet1!R34,[2]Sheet1!R68,[2]Sheet1!R102,[2]Sheet1!R136)</f>
        <v>1072703.858067486</v>
      </c>
      <c r="S30" s="8">
        <f>SUM([2]Sheet1!S34,[2]Sheet1!S68,[2]Sheet1!S102,[2]Sheet1!S136)</f>
        <v>1100143.2667125042</v>
      </c>
      <c r="T30" s="8"/>
      <c r="U30" s="8"/>
      <c r="V30" s="8"/>
      <c r="W30" s="8"/>
      <c r="X30" s="8"/>
      <c r="Y30" s="8"/>
      <c r="Z30" s="8"/>
      <c r="AA30" s="8"/>
      <c r="AB30" s="8"/>
      <c r="AC30" s="8"/>
      <c r="AD30" s="8"/>
      <c r="AE30" s="8"/>
    </row>
    <row r="31" spans="2:31">
      <c r="B31" s="4" t="s">
        <v>501</v>
      </c>
      <c r="C31" s="4" t="s">
        <v>496</v>
      </c>
      <c r="D31" s="8">
        <f>SUM([2]Sheet1!D35,[2]Sheet1!D69,[2]Sheet1!D103,[2]Sheet1!D137)</f>
        <v>579859.29014261323</v>
      </c>
      <c r="E31" s="8">
        <f>SUM([2]Sheet1!E35,[2]Sheet1!E69,[2]Sheet1!E103,[2]Sheet1!E137)</f>
        <v>586477.31331067183</v>
      </c>
      <c r="F31" s="8">
        <f>SUM([2]Sheet1!F35,[2]Sheet1!F69,[2]Sheet1!F103,[2]Sheet1!F137)</f>
        <v>595533.83680261485</v>
      </c>
      <c r="G31" s="8">
        <f>SUM([2]Sheet1!G35,[2]Sheet1!G69,[2]Sheet1!G103,[2]Sheet1!G137)</f>
        <v>608700.04422071343</v>
      </c>
      <c r="H31" s="8">
        <f>SUM([2]Sheet1!H35,[2]Sheet1!H69,[2]Sheet1!H103,[2]Sheet1!H137)</f>
        <v>626289.22538925754</v>
      </c>
      <c r="I31" s="8">
        <f>SUM([2]Sheet1!I35,[2]Sheet1!I69,[2]Sheet1!I103,[2]Sheet1!I137)</f>
        <v>647565.07854951243</v>
      </c>
      <c r="J31" s="8">
        <f>SUM([2]Sheet1!J35,[2]Sheet1!J69,[2]Sheet1!J103,[2]Sheet1!J137)</f>
        <v>672946.84471890365</v>
      </c>
      <c r="K31" s="8">
        <f>SUM([2]Sheet1!K35,[2]Sheet1!K69,[2]Sheet1!K103,[2]Sheet1!K137)</f>
        <v>699478.09910990647</v>
      </c>
      <c r="L31" s="8">
        <f>SUM([2]Sheet1!L35,[2]Sheet1!L69,[2]Sheet1!L103,[2]Sheet1!L137)</f>
        <v>725921.38743100991</v>
      </c>
      <c r="M31" s="8">
        <f>SUM([2]Sheet1!M35,[2]Sheet1!M69,[2]Sheet1!M103,[2]Sheet1!M137)</f>
        <v>752044.31814723578</v>
      </c>
      <c r="N31" s="8">
        <f>SUM([2]Sheet1!N35,[2]Sheet1!N69,[2]Sheet1!N103,[2]Sheet1!N137)</f>
        <v>777887.54297075444</v>
      </c>
      <c r="O31" s="8">
        <f>SUM([2]Sheet1!O35,[2]Sheet1!O69,[2]Sheet1!O103,[2]Sheet1!O137)</f>
        <v>801253.22127470886</v>
      </c>
      <c r="P31" s="8">
        <f>SUM([2]Sheet1!P35,[2]Sheet1!P69,[2]Sheet1!P103,[2]Sheet1!P137)</f>
        <v>828062.99635831313</v>
      </c>
      <c r="Q31" s="8">
        <f>SUM([2]Sheet1!Q35,[2]Sheet1!Q69,[2]Sheet1!Q103,[2]Sheet1!Q137)</f>
        <v>853879.26115851279</v>
      </c>
      <c r="R31" s="8">
        <f>SUM([2]Sheet1!R35,[2]Sheet1!R69,[2]Sheet1!R103,[2]Sheet1!R137)</f>
        <v>878542.47269662272</v>
      </c>
      <c r="S31" s="8">
        <f>SUM([2]Sheet1!S35,[2]Sheet1!S69,[2]Sheet1!S103,[2]Sheet1!S137)</f>
        <v>902078.93905384885</v>
      </c>
      <c r="T31" s="8"/>
      <c r="U31" s="8"/>
      <c r="V31" s="8"/>
      <c r="W31" s="8"/>
      <c r="X31" s="8"/>
      <c r="Y31" s="8"/>
      <c r="Z31" s="8"/>
      <c r="AA31" s="8"/>
      <c r="AB31" s="8"/>
      <c r="AC31" s="8"/>
      <c r="AD31" s="8"/>
      <c r="AE31" s="8"/>
    </row>
    <row r="32" spans="2:31">
      <c r="B32" s="4" t="s">
        <v>501</v>
      </c>
      <c r="C32" s="4" t="s">
        <v>497</v>
      </c>
      <c r="D32" s="8">
        <f>SUM([2]Sheet1!D36,[2]Sheet1!D70,[2]Sheet1!D104,[2]Sheet1!D138)</f>
        <v>474393.72675805382</v>
      </c>
      <c r="E32" s="8">
        <f>SUM([2]Sheet1!E36,[2]Sheet1!E70,[2]Sheet1!E104,[2]Sheet1!E138)</f>
        <v>481697.57829761948</v>
      </c>
      <c r="F32" s="8">
        <f>SUM([2]Sheet1!F36,[2]Sheet1!F70,[2]Sheet1!F104,[2]Sheet1!F138)</f>
        <v>489029.48482408392</v>
      </c>
      <c r="G32" s="8">
        <f>SUM([2]Sheet1!G36,[2]Sheet1!G70,[2]Sheet1!G104,[2]Sheet1!G138)</f>
        <v>495387.36403490871</v>
      </c>
      <c r="H32" s="8">
        <f>SUM([2]Sheet1!H36,[2]Sheet1!H70,[2]Sheet1!H104,[2]Sheet1!H138)</f>
        <v>500270.85879412753</v>
      </c>
      <c r="I32" s="8">
        <f>SUM([2]Sheet1!I36,[2]Sheet1!I70,[2]Sheet1!I104,[2]Sheet1!I138)</f>
        <v>505209.03593906056</v>
      </c>
      <c r="J32" s="8">
        <f>SUM([2]Sheet1!J36,[2]Sheet1!J70,[2]Sheet1!J104,[2]Sheet1!J138)</f>
        <v>510586.15628505149</v>
      </c>
      <c r="K32" s="8">
        <f>SUM([2]Sheet1!K36,[2]Sheet1!K70,[2]Sheet1!K104,[2]Sheet1!K138)</f>
        <v>518760.87387394276</v>
      </c>
      <c r="L32" s="8">
        <f>SUM([2]Sheet1!L36,[2]Sheet1!L70,[2]Sheet1!L104,[2]Sheet1!L138)</f>
        <v>531047.17987147928</v>
      </c>
      <c r="M32" s="8">
        <f>SUM([2]Sheet1!M36,[2]Sheet1!M70,[2]Sheet1!M104,[2]Sheet1!M138)</f>
        <v>547708.14483689226</v>
      </c>
      <c r="N32" s="8">
        <f>SUM([2]Sheet1!N36,[2]Sheet1!N70,[2]Sheet1!N104,[2]Sheet1!N138)</f>
        <v>567858.4387986362</v>
      </c>
      <c r="O32" s="8">
        <f>SUM([2]Sheet1!O36,[2]Sheet1!O70,[2]Sheet1!O104,[2]Sheet1!O138)</f>
        <v>591642.34661036427</v>
      </c>
      <c r="P32" s="8">
        <f>SUM([2]Sheet1!P36,[2]Sheet1!P70,[2]Sheet1!P104,[2]Sheet1!P138)</f>
        <v>616439.74896170851</v>
      </c>
      <c r="Q32" s="8">
        <f>SUM([2]Sheet1!Q36,[2]Sheet1!Q70,[2]Sheet1!Q104,[2]Sheet1!Q138)</f>
        <v>641350.96363445348</v>
      </c>
      <c r="R32" s="8">
        <f>SUM([2]Sheet1!R36,[2]Sheet1!R70,[2]Sheet1!R104,[2]Sheet1!R138)</f>
        <v>666207.04724138102</v>
      </c>
      <c r="S32" s="8">
        <f>SUM([2]Sheet1!S36,[2]Sheet1!S70,[2]Sheet1!S104,[2]Sheet1!S138)</f>
        <v>691114.03464364796</v>
      </c>
      <c r="T32" s="8"/>
      <c r="U32" s="8"/>
      <c r="V32" s="8"/>
      <c r="W32" s="8"/>
      <c r="X32" s="8"/>
      <c r="Y32" s="8"/>
      <c r="Z32" s="8"/>
      <c r="AA32" s="8"/>
      <c r="AB32" s="8"/>
      <c r="AC32" s="8"/>
      <c r="AD32" s="8"/>
      <c r="AE32" s="8"/>
    </row>
    <row r="33" spans="2:31">
      <c r="B33" s="4" t="s">
        <v>501</v>
      </c>
      <c r="C33" s="4" t="s">
        <v>498</v>
      </c>
      <c r="D33" s="8">
        <f>SUM([2]Sheet1!D37,[2]Sheet1!D71,[2]Sheet1!D105,[2]Sheet1!D139)</f>
        <v>371655.21540191141</v>
      </c>
      <c r="E33" s="8">
        <f>SUM([2]Sheet1!E37,[2]Sheet1!E71,[2]Sheet1!E105,[2]Sheet1!E139)</f>
        <v>374262.55318544857</v>
      </c>
      <c r="F33" s="8">
        <f>SUM([2]Sheet1!F37,[2]Sheet1!F71,[2]Sheet1!F105,[2]Sheet1!F139)</f>
        <v>377635.5146412683</v>
      </c>
      <c r="G33" s="8">
        <f>SUM([2]Sheet1!G37,[2]Sheet1!G71,[2]Sheet1!G105,[2]Sheet1!G139)</f>
        <v>381662.8191563515</v>
      </c>
      <c r="H33" s="8">
        <f>SUM([2]Sheet1!H37,[2]Sheet1!H71,[2]Sheet1!H105,[2]Sheet1!H139)</f>
        <v>386126.63213597931</v>
      </c>
      <c r="I33" s="8">
        <f>SUM([2]Sheet1!I37,[2]Sheet1!I71,[2]Sheet1!I105,[2]Sheet1!I139)</f>
        <v>390986.28367846907</v>
      </c>
      <c r="J33" s="8">
        <f>SUM([2]Sheet1!J37,[2]Sheet1!J71,[2]Sheet1!J105,[2]Sheet1!J139)</f>
        <v>397112.5560582694</v>
      </c>
      <c r="K33" s="8">
        <f>SUM([2]Sheet1!K37,[2]Sheet1!K71,[2]Sheet1!K105,[2]Sheet1!K139)</f>
        <v>403599.78575393872</v>
      </c>
      <c r="L33" s="8">
        <f>SUM([2]Sheet1!L37,[2]Sheet1!L71,[2]Sheet1!L105,[2]Sheet1!L139)</f>
        <v>409495.85077769245</v>
      </c>
      <c r="M33" s="8">
        <f>SUM([2]Sheet1!M37,[2]Sheet1!M71,[2]Sheet1!M105,[2]Sheet1!M139)</f>
        <v>414417.79793791129</v>
      </c>
      <c r="N33" s="8">
        <f>SUM([2]Sheet1!N37,[2]Sheet1!N71,[2]Sheet1!N105,[2]Sheet1!N139)</f>
        <v>419591.22075584409</v>
      </c>
      <c r="O33" s="8">
        <f>SUM([2]Sheet1!O37,[2]Sheet1!O71,[2]Sheet1!O105,[2]Sheet1!O139)</f>
        <v>425242.68091680575</v>
      </c>
      <c r="P33" s="8">
        <f>SUM([2]Sheet1!P37,[2]Sheet1!P71,[2]Sheet1!P105,[2]Sheet1!P139)</f>
        <v>433225.90586201468</v>
      </c>
      <c r="Q33" s="8">
        <f>SUM([2]Sheet1!Q37,[2]Sheet1!Q71,[2]Sheet1!Q105,[2]Sheet1!Q139)</f>
        <v>444868.43200232444</v>
      </c>
      <c r="R33" s="8">
        <f>SUM([2]Sheet1!R37,[2]Sheet1!R71,[2]Sheet1!R105,[2]Sheet1!R139)</f>
        <v>460368.13310133852</v>
      </c>
      <c r="S33" s="8">
        <f>SUM([2]Sheet1!S37,[2]Sheet1!S71,[2]Sheet1!S105,[2]Sheet1!S139)</f>
        <v>478972.09715614852</v>
      </c>
      <c r="T33" s="8"/>
      <c r="U33" s="8"/>
      <c r="V33" s="8"/>
      <c r="W33" s="8"/>
      <c r="X33" s="8"/>
      <c r="Y33" s="8"/>
      <c r="Z33" s="8"/>
      <c r="AA33" s="8"/>
      <c r="AB33" s="8"/>
      <c r="AC33" s="8"/>
      <c r="AD33" s="8"/>
      <c r="AE33" s="8"/>
    </row>
    <row r="34" spans="2:31">
      <c r="B34" s="4" t="s">
        <v>501</v>
      </c>
      <c r="C34" s="4" t="s">
        <v>499</v>
      </c>
      <c r="D34" s="8">
        <f>SUM([2]Sheet1!D38,[2]Sheet1!D72,[2]Sheet1!D106,[2]Sheet1!D140)</f>
        <v>273180.08970414061</v>
      </c>
      <c r="E34" s="8">
        <f>SUM([2]Sheet1!E38,[2]Sheet1!E72,[2]Sheet1!E106,[2]Sheet1!E140)</f>
        <v>274237.92090230854</v>
      </c>
      <c r="F34" s="8">
        <f>SUM([2]Sheet1!F38,[2]Sheet1!F72,[2]Sheet1!F106,[2]Sheet1!F140)</f>
        <v>275250.01956567977</v>
      </c>
      <c r="G34" s="8">
        <f>SUM([2]Sheet1!G38,[2]Sheet1!G72,[2]Sheet1!G106,[2]Sheet1!G140)</f>
        <v>276531.01584473439</v>
      </c>
      <c r="H34" s="8">
        <f>SUM([2]Sheet1!H38,[2]Sheet1!H72,[2]Sheet1!H106,[2]Sheet1!H140)</f>
        <v>278983.34139684984</v>
      </c>
      <c r="I34" s="8">
        <f>SUM([2]Sheet1!I38,[2]Sheet1!I72,[2]Sheet1!I106,[2]Sheet1!I140)</f>
        <v>280838.122807534</v>
      </c>
      <c r="J34" s="8">
        <f>SUM([2]Sheet1!J38,[2]Sheet1!J72,[2]Sheet1!J106,[2]Sheet1!J140)</f>
        <v>282987.5980975742</v>
      </c>
      <c r="K34" s="8">
        <f>SUM([2]Sheet1!K38,[2]Sheet1!K72,[2]Sheet1!K106,[2]Sheet1!K140)</f>
        <v>285919.23505151883</v>
      </c>
      <c r="L34" s="8">
        <f>SUM([2]Sheet1!L38,[2]Sheet1!L72,[2]Sheet1!L106,[2]Sheet1!L140)</f>
        <v>289540.11717371951</v>
      </c>
      <c r="M34" s="8">
        <f>SUM([2]Sheet1!M38,[2]Sheet1!M72,[2]Sheet1!M106,[2]Sheet1!M140)</f>
        <v>293762.26792329334</v>
      </c>
      <c r="N34" s="8">
        <f>SUM([2]Sheet1!N38,[2]Sheet1!N72,[2]Sheet1!N106,[2]Sheet1!N140)</f>
        <v>298556.00785643142</v>
      </c>
      <c r="O34" s="8">
        <f>SUM([2]Sheet1!O38,[2]Sheet1!O72,[2]Sheet1!O106,[2]Sheet1!O140)</f>
        <v>304423.30081952002</v>
      </c>
      <c r="P34" s="8">
        <f>SUM([2]Sheet1!P38,[2]Sheet1!P72,[2]Sheet1!P106,[2]Sheet1!P140)</f>
        <v>310506.63758250891</v>
      </c>
      <c r="Q34" s="8">
        <f>SUM([2]Sheet1!Q38,[2]Sheet1!Q72,[2]Sheet1!Q106,[2]Sheet1!Q140)</f>
        <v>316277.6135772444</v>
      </c>
      <c r="R34" s="8">
        <f>SUM([2]Sheet1!R38,[2]Sheet1!R72,[2]Sheet1!R106,[2]Sheet1!R140)</f>
        <v>321439.12865788431</v>
      </c>
      <c r="S34" s="8">
        <f>SUM([2]Sheet1!S38,[2]Sheet1!S72,[2]Sheet1!S106,[2]Sheet1!S140)</f>
        <v>326870.72170895565</v>
      </c>
      <c r="T34" s="8"/>
      <c r="U34" s="8"/>
      <c r="V34" s="8"/>
      <c r="W34" s="8"/>
      <c r="X34" s="8"/>
      <c r="Y34" s="8"/>
      <c r="Z34" s="8"/>
      <c r="AA34" s="8"/>
      <c r="AB34" s="8"/>
      <c r="AC34" s="8"/>
      <c r="AD34" s="8"/>
      <c r="AE34" s="8"/>
    </row>
    <row r="35" spans="2:31">
      <c r="B35" s="4" t="s">
        <v>501</v>
      </c>
      <c r="C35" s="4" t="s">
        <v>500</v>
      </c>
      <c r="D35" s="8">
        <f>SUM([2]Sheet1!D39,[2]Sheet1!D73,[2]Sheet1!D107,[2]Sheet1!D141)</f>
        <v>279694.58470269787</v>
      </c>
      <c r="E35" s="8">
        <f>SUM([2]Sheet1!E39,[2]Sheet1!E73,[2]Sheet1!E107,[2]Sheet1!E141)</f>
        <v>285227.91579977877</v>
      </c>
      <c r="F35" s="8">
        <f>SUM([2]Sheet1!F39,[2]Sheet1!F73,[2]Sheet1!F107,[2]Sheet1!F141)</f>
        <v>290369.87766233098</v>
      </c>
      <c r="G35" s="8">
        <f>SUM([2]Sheet1!G39,[2]Sheet1!G73,[2]Sheet1!G107,[2]Sheet1!G141)</f>
        <v>295228.92253892811</v>
      </c>
      <c r="H35" s="8">
        <f>SUM([2]Sheet1!H39,[2]Sheet1!H73,[2]Sheet1!H107,[2]Sheet1!H141)</f>
        <v>299361.22032538132</v>
      </c>
      <c r="I35" s="8">
        <f>SUM([2]Sheet1!I39,[2]Sheet1!I73,[2]Sheet1!I107,[2]Sheet1!I141)</f>
        <v>303288.75716719771</v>
      </c>
      <c r="J35" s="8">
        <f>SUM([2]Sheet1!J39,[2]Sheet1!J73,[2]Sheet1!J107,[2]Sheet1!J141)</f>
        <v>307157.49394098669</v>
      </c>
      <c r="K35" s="8">
        <f>SUM([2]Sheet1!K39,[2]Sheet1!K73,[2]Sheet1!K107,[2]Sheet1!K141)</f>
        <v>310937.40360830061</v>
      </c>
      <c r="L35" s="8">
        <f>SUM([2]Sheet1!L39,[2]Sheet1!L73,[2]Sheet1!L107,[2]Sheet1!L141)</f>
        <v>314828.56950708933</v>
      </c>
      <c r="M35" s="8">
        <f>SUM([2]Sheet1!M39,[2]Sheet1!M73,[2]Sheet1!M107,[2]Sheet1!M141)</f>
        <v>319165.179527862</v>
      </c>
      <c r="N35" s="8">
        <f>SUM([2]Sheet1!N39,[2]Sheet1!N73,[2]Sheet1!N107,[2]Sheet1!N141)</f>
        <v>323218.44711834996</v>
      </c>
      <c r="O35" s="8">
        <f>SUM([2]Sheet1!O39,[2]Sheet1!O73,[2]Sheet1!O107,[2]Sheet1!O141)</f>
        <v>327531.57993903878</v>
      </c>
      <c r="P35" s="8">
        <f>SUM([2]Sheet1!P39,[2]Sheet1!P73,[2]Sheet1!P107,[2]Sheet1!P141)</f>
        <v>332295.40131270327</v>
      </c>
      <c r="Q35" s="8">
        <f>SUM([2]Sheet1!Q39,[2]Sheet1!Q73,[2]Sheet1!Q107,[2]Sheet1!Q141)</f>
        <v>337931.54167997243</v>
      </c>
      <c r="R35" s="8">
        <f>SUM([2]Sheet1!R39,[2]Sheet1!R73,[2]Sheet1!R107,[2]Sheet1!R141)</f>
        <v>344537.119596206</v>
      </c>
      <c r="S35" s="8">
        <f>SUM([2]Sheet1!S39,[2]Sheet1!S73,[2]Sheet1!S107,[2]Sheet1!S141)</f>
        <v>351469.05435617641</v>
      </c>
      <c r="T35" s="8"/>
      <c r="U35" s="8"/>
      <c r="V35" s="8"/>
      <c r="W35" s="8"/>
      <c r="X35" s="8"/>
      <c r="Y35" s="8"/>
      <c r="Z35" s="8"/>
      <c r="AA35" s="8"/>
      <c r="AB35" s="8"/>
      <c r="AC35" s="8"/>
      <c r="AD35" s="8"/>
      <c r="AE35" s="8"/>
    </row>
    <row r="36" spans="2:31">
      <c r="B36" s="4" t="s">
        <v>239</v>
      </c>
      <c r="C36" s="4" t="s">
        <v>484</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239</v>
      </c>
      <c r="C37" s="4" t="s">
        <v>485</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239</v>
      </c>
      <c r="C38" s="4" t="s">
        <v>486</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239</v>
      </c>
      <c r="C39" s="4" t="s">
        <v>487</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239</v>
      </c>
      <c r="C40" s="4" t="s">
        <v>488</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239</v>
      </c>
      <c r="C41" s="4" t="s">
        <v>489</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239</v>
      </c>
      <c r="C42" s="4" t="s">
        <v>490</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239</v>
      </c>
      <c r="C43" s="4" t="s">
        <v>491</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239</v>
      </c>
      <c r="C44" s="4" t="s">
        <v>492</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239</v>
      </c>
      <c r="C45" s="4" t="s">
        <v>493</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239</v>
      </c>
      <c r="C46" s="4" t="s">
        <v>494</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239</v>
      </c>
      <c r="C47" s="4" t="s">
        <v>495</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239</v>
      </c>
      <c r="C48" s="4" t="s">
        <v>496</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239</v>
      </c>
      <c r="C49" s="4" t="s">
        <v>497</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239</v>
      </c>
      <c r="C50" s="4" t="s">
        <v>498</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239</v>
      </c>
      <c r="C51" s="4" t="s">
        <v>499</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239</v>
      </c>
      <c r="C52" s="4" t="s">
        <v>500</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239</v>
      </c>
      <c r="C53" s="4" t="s">
        <v>422</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81"/>
  <sheetViews>
    <sheetView topLeftCell="A118" workbookViewId="0">
      <selection activeCell="L134" sqref="L134"/>
    </sheetView>
  </sheetViews>
  <sheetFormatPr defaultColWidth="8.6640625" defaultRowHeight="14.4"/>
  <cols>
    <col min="1" max="16384" width="8.6640625" style="227"/>
  </cols>
  <sheetData>
    <row r="4" spans="1:28">
      <c r="A4" s="227" t="s">
        <v>417</v>
      </c>
    </row>
    <row r="5" spans="1:28">
      <c r="B5" s="36" t="s">
        <v>618</v>
      </c>
      <c r="C5" s="36" t="s">
        <v>619</v>
      </c>
      <c r="D5" s="36" t="s">
        <v>629</v>
      </c>
      <c r="E5" s="36" t="s">
        <v>630</v>
      </c>
      <c r="F5" s="36" t="s">
        <v>631</v>
      </c>
      <c r="G5" s="36" t="s">
        <v>632</v>
      </c>
      <c r="H5" s="36" t="s">
        <v>620</v>
      </c>
      <c r="I5" s="36" t="s">
        <v>633</v>
      </c>
      <c r="J5" s="36" t="s">
        <v>634</v>
      </c>
      <c r="K5" s="36" t="s">
        <v>635</v>
      </c>
      <c r="L5" s="36" t="s">
        <v>636</v>
      </c>
      <c r="M5" s="36" t="s">
        <v>621</v>
      </c>
      <c r="N5" s="36" t="s">
        <v>637</v>
      </c>
      <c r="O5" s="36" t="s">
        <v>638</v>
      </c>
      <c r="P5" s="36" t="s">
        <v>639</v>
      </c>
      <c r="Q5" s="36" t="s">
        <v>640</v>
      </c>
      <c r="R5" s="36" t="s">
        <v>622</v>
      </c>
      <c r="S5" s="36" t="s">
        <v>641</v>
      </c>
      <c r="T5" s="36" t="s">
        <v>642</v>
      </c>
      <c r="U5" s="36" t="s">
        <v>643</v>
      </c>
      <c r="V5" s="36" t="s">
        <v>644</v>
      </c>
      <c r="W5" s="36" t="s">
        <v>623</v>
      </c>
      <c r="X5" s="36" t="s">
        <v>624</v>
      </c>
      <c r="Y5" s="36" t="s">
        <v>625</v>
      </c>
      <c r="Z5" s="36" t="s">
        <v>626</v>
      </c>
      <c r="AA5" s="36"/>
      <c r="AB5" s="36"/>
    </row>
    <row r="6" spans="1:28">
      <c r="A6" s="36" t="s">
        <v>5</v>
      </c>
      <c r="B6" s="227">
        <v>0.26490301139712186</v>
      </c>
      <c r="C6" s="227">
        <v>0.28253013171305114</v>
      </c>
      <c r="D6" s="227">
        <v>0.28564428348112725</v>
      </c>
      <c r="E6" s="227">
        <v>0.28992965009387561</v>
      </c>
      <c r="F6" s="227">
        <v>0.29324002736322369</v>
      </c>
      <c r="G6" s="227">
        <v>0.29546087352047817</v>
      </c>
      <c r="H6" s="227">
        <v>0.30005171895446547</v>
      </c>
      <c r="I6" s="227">
        <v>0.30454463467511445</v>
      </c>
      <c r="J6" s="227">
        <v>0.30941865739464686</v>
      </c>
      <c r="K6" s="227">
        <v>0.31400852112023753</v>
      </c>
      <c r="L6" s="227">
        <v>0.31882097633003381</v>
      </c>
      <c r="M6" s="227">
        <v>0.32393269539577119</v>
      </c>
      <c r="N6" s="227">
        <v>0.33033424944593398</v>
      </c>
      <c r="O6" s="227">
        <v>0.33668423565511135</v>
      </c>
      <c r="P6" s="227">
        <v>0.34315672951308362</v>
      </c>
      <c r="Q6" s="227">
        <v>0.34971839537863353</v>
      </c>
      <c r="R6" s="227">
        <v>0.3563643379610128</v>
      </c>
      <c r="S6" s="227">
        <v>0.36362938337054562</v>
      </c>
      <c r="T6" s="227">
        <v>0.37037505935928633</v>
      </c>
      <c r="U6" s="227">
        <v>0.37769688827668502</v>
      </c>
      <c r="V6" s="227">
        <v>0.38535440852608194</v>
      </c>
      <c r="W6" s="227">
        <v>0.39364001772168666</v>
      </c>
      <c r="X6" s="10">
        <v>0.43600987273101027</v>
      </c>
      <c r="Y6" s="24">
        <v>0.47987323347399008</v>
      </c>
      <c r="Z6" s="227">
        <v>0.52412094262873499</v>
      </c>
    </row>
    <row r="7" spans="1:28">
      <c r="A7" s="36" t="s">
        <v>139</v>
      </c>
      <c r="B7" s="227">
        <v>1.2205117273302883E-2</v>
      </c>
      <c r="C7" s="227">
        <v>1.3296316818911229E-2</v>
      </c>
      <c r="D7" s="227">
        <v>1.3181374689028573E-2</v>
      </c>
      <c r="E7" s="227">
        <v>1.3846750801906057E-2</v>
      </c>
      <c r="F7" s="227">
        <v>1.361539486176605E-2</v>
      </c>
      <c r="G7" s="227">
        <v>1.3345697708360383E-2</v>
      </c>
      <c r="H7" s="227">
        <v>1.3682081805463944E-2</v>
      </c>
      <c r="I7" s="227">
        <v>1.3985933102671795E-2</v>
      </c>
      <c r="J7" s="227">
        <v>1.4250446777515548E-2</v>
      </c>
      <c r="K7" s="227">
        <v>1.4476905909048307E-2</v>
      </c>
      <c r="L7" s="227">
        <v>1.4709337081361989E-2</v>
      </c>
      <c r="M7" s="227">
        <v>1.495855348728053E-2</v>
      </c>
      <c r="N7" s="227">
        <v>1.5312913971745895E-2</v>
      </c>
      <c r="O7" s="227">
        <v>1.5653917420358342E-2</v>
      </c>
      <c r="P7" s="227">
        <v>1.6001897171746451E-2</v>
      </c>
      <c r="Q7" s="227">
        <v>1.6326145935977369E-2</v>
      </c>
      <c r="R7" s="227">
        <v>1.6647018102982001E-2</v>
      </c>
      <c r="S7" s="227">
        <v>1.693276117070357E-2</v>
      </c>
      <c r="T7" s="227">
        <v>1.717426442025094E-2</v>
      </c>
      <c r="U7" s="227">
        <v>1.7440640961589916E-2</v>
      </c>
      <c r="V7" s="227">
        <v>1.771902814616988E-2</v>
      </c>
      <c r="W7" s="227">
        <v>1.8015046667696547E-2</v>
      </c>
      <c r="X7" s="227">
        <v>1.9646367621826522E-2</v>
      </c>
      <c r="Y7" s="227">
        <v>2.1134076660880814E-2</v>
      </c>
      <c r="Z7" s="227">
        <v>2.2743958258456747E-2</v>
      </c>
    </row>
    <row r="8" spans="1:28">
      <c r="A8" s="36" t="s">
        <v>399</v>
      </c>
      <c r="B8" s="227">
        <v>3.0070957798834522E-2</v>
      </c>
      <c r="C8" s="227">
        <v>3.1243570884306543E-2</v>
      </c>
      <c r="D8" s="227">
        <v>3.1517865163645235E-2</v>
      </c>
      <c r="E8" s="227">
        <v>3.1730650140796055E-2</v>
      </c>
      <c r="F8" s="227">
        <v>3.1333896727361983E-2</v>
      </c>
      <c r="G8" s="227">
        <v>3.0881287234157156E-2</v>
      </c>
      <c r="H8" s="227">
        <v>3.1279969144855632E-2</v>
      </c>
      <c r="I8" s="227">
        <v>3.1613105727748024E-2</v>
      </c>
      <c r="J8" s="227">
        <v>3.1938526593823603E-2</v>
      </c>
      <c r="K8" s="227">
        <v>3.2220633125489249E-2</v>
      </c>
      <c r="L8" s="227">
        <v>3.2501308942250735E-2</v>
      </c>
      <c r="M8" s="227">
        <v>3.3065923689723394E-2</v>
      </c>
      <c r="N8" s="227">
        <v>3.3692514115273506E-2</v>
      </c>
      <c r="O8" s="227">
        <v>3.4376858663908723E-2</v>
      </c>
      <c r="P8" s="227">
        <v>3.5126300396983001E-2</v>
      </c>
      <c r="Q8" s="227">
        <v>3.5694481774716368E-2</v>
      </c>
      <c r="R8" s="227">
        <v>3.6353565403456183E-2</v>
      </c>
      <c r="S8" s="227">
        <v>3.7046130822790783E-2</v>
      </c>
      <c r="T8" s="227">
        <v>3.7768281391632796E-2</v>
      </c>
      <c r="U8" s="227">
        <v>3.8499400179098996E-2</v>
      </c>
      <c r="V8" s="227">
        <v>3.923167018386526E-2</v>
      </c>
      <c r="W8" s="227">
        <v>4.0095577980935493E-2</v>
      </c>
      <c r="X8" s="227">
        <v>4.4572976407579859E-2</v>
      </c>
      <c r="Y8" s="227">
        <v>4.8664525304964311E-2</v>
      </c>
      <c r="Z8" s="227">
        <v>5.2591495766300678E-2</v>
      </c>
    </row>
    <row r="9" spans="1:28">
      <c r="A9" s="36" t="s">
        <v>572</v>
      </c>
      <c r="B9" s="227">
        <v>2.3649162688522865E-2</v>
      </c>
      <c r="C9" s="227">
        <v>2.5562051746611535E-2</v>
      </c>
      <c r="D9" s="227">
        <v>2.5832057804745016E-2</v>
      </c>
      <c r="E9" s="227">
        <v>2.6436457815553753E-2</v>
      </c>
      <c r="F9" s="227">
        <v>2.6612774319272694E-2</v>
      </c>
      <c r="G9" s="227">
        <v>2.6547557059959287E-2</v>
      </c>
      <c r="H9" s="227">
        <v>2.7079573138567424E-2</v>
      </c>
      <c r="I9" s="227">
        <v>2.7611088819634561E-2</v>
      </c>
      <c r="J9" s="227">
        <v>2.8108957554533874E-2</v>
      </c>
      <c r="K9" s="227">
        <v>2.8563196061713817E-2</v>
      </c>
      <c r="L9" s="227">
        <v>2.9022910062618062E-2</v>
      </c>
      <c r="M9" s="227">
        <v>2.9540310362742038E-2</v>
      </c>
      <c r="N9" s="227">
        <v>3.0260914526958057E-2</v>
      </c>
      <c r="O9" s="227">
        <v>3.0948825843436899E-2</v>
      </c>
      <c r="P9" s="227">
        <v>3.1629078512072625E-2</v>
      </c>
      <c r="Q9" s="227">
        <v>3.2268822856092269E-2</v>
      </c>
      <c r="R9" s="227">
        <v>3.2913690696315959E-2</v>
      </c>
      <c r="S9" s="227">
        <v>3.3491133096952272E-2</v>
      </c>
      <c r="T9" s="227">
        <v>3.4007732599265088E-2</v>
      </c>
      <c r="U9" s="227">
        <v>3.4577614305966634E-2</v>
      </c>
      <c r="V9" s="227">
        <v>3.5176092454767653E-2</v>
      </c>
      <c r="W9" s="227">
        <v>3.5801772092815626E-2</v>
      </c>
      <c r="X9" s="227">
        <v>3.9159068488196169E-2</v>
      </c>
      <c r="Y9" s="227">
        <v>4.2085583839286761E-2</v>
      </c>
      <c r="Z9" s="227">
        <v>4.520492772261063E-2</v>
      </c>
    </row>
    <row r="10" spans="1:28">
      <c r="A10" s="36" t="s">
        <v>573</v>
      </c>
      <c r="B10" s="227">
        <v>7.334621058350009E-2</v>
      </c>
      <c r="C10" s="227">
        <v>7.6715351205356344E-2</v>
      </c>
      <c r="D10" s="227">
        <v>7.7038013992643123E-2</v>
      </c>
      <c r="E10" s="227">
        <v>7.7584993223038856E-2</v>
      </c>
      <c r="F10" s="227">
        <v>7.7740665730241396E-2</v>
      </c>
      <c r="G10" s="227">
        <v>7.755636846762376E-2</v>
      </c>
      <c r="H10" s="227">
        <v>7.9389232466604828E-2</v>
      </c>
      <c r="I10" s="227">
        <v>8.1085079181284839E-2</v>
      </c>
      <c r="J10" s="227">
        <v>8.2787595923103238E-2</v>
      </c>
      <c r="K10" s="227">
        <v>8.4362536331218804E-2</v>
      </c>
      <c r="L10" s="227">
        <v>8.5968777199371585E-2</v>
      </c>
      <c r="M10" s="227">
        <v>8.7683987323239093E-2</v>
      </c>
      <c r="N10" s="227">
        <v>8.9925672815977464E-2</v>
      </c>
      <c r="O10" s="227">
        <v>9.21637764931202E-2</v>
      </c>
      <c r="P10" s="227">
        <v>9.4434531174566599E-2</v>
      </c>
      <c r="Q10" s="227">
        <v>9.6710712408642388E-2</v>
      </c>
      <c r="R10" s="227">
        <v>9.9023141339306106E-2</v>
      </c>
      <c r="S10" s="227">
        <v>0.10139752505966364</v>
      </c>
      <c r="T10" s="227">
        <v>0.10360460995748809</v>
      </c>
      <c r="U10" s="227">
        <v>0.10600714571060793</v>
      </c>
      <c r="V10" s="227">
        <v>0.10852068361440109</v>
      </c>
      <c r="W10" s="227">
        <v>0.11120686962998012</v>
      </c>
      <c r="X10" s="227">
        <v>0.1250439550212108</v>
      </c>
      <c r="Y10" s="227">
        <v>0.13904673471519646</v>
      </c>
      <c r="Z10" s="227">
        <v>0.15377415548370874</v>
      </c>
    </row>
    <row r="11" spans="1:28">
      <c r="A11" s="36" t="s">
        <v>574</v>
      </c>
      <c r="B11" s="227">
        <v>5.0815214594333641E-3</v>
      </c>
      <c r="C11" s="227">
        <v>5.4423035732898044E-3</v>
      </c>
      <c r="D11" s="227">
        <v>5.4930349460212084E-3</v>
      </c>
      <c r="E11" s="227">
        <v>5.5649420782961211E-3</v>
      </c>
      <c r="F11" s="227">
        <v>5.5947314258175977E-3</v>
      </c>
      <c r="G11" s="227">
        <v>5.5945164725949492E-3</v>
      </c>
      <c r="H11" s="227">
        <v>5.7364548081622075E-3</v>
      </c>
      <c r="I11" s="227">
        <v>5.8642941662019644E-3</v>
      </c>
      <c r="J11" s="227">
        <v>5.9892596454800785E-3</v>
      </c>
      <c r="K11" s="227">
        <v>6.1036223481943409E-3</v>
      </c>
      <c r="L11" s="227">
        <v>6.2184740991456395E-3</v>
      </c>
      <c r="M11" s="227">
        <v>6.3432588615682196E-3</v>
      </c>
      <c r="N11" s="227">
        <v>6.5082098219939478E-3</v>
      </c>
      <c r="O11" s="227">
        <v>6.6673419049130345E-3</v>
      </c>
      <c r="P11" s="227">
        <v>6.8238505109711163E-3</v>
      </c>
      <c r="Q11" s="227">
        <v>6.9652679187950945E-3</v>
      </c>
      <c r="R11" s="227">
        <v>7.1174848823553887E-3</v>
      </c>
      <c r="S11" s="227">
        <v>7.2586339551725934E-3</v>
      </c>
      <c r="T11" s="227">
        <v>7.3915587662852457E-3</v>
      </c>
      <c r="U11" s="227">
        <v>7.5364463539192694E-3</v>
      </c>
      <c r="V11" s="227">
        <v>7.6873199158020104E-3</v>
      </c>
      <c r="W11" s="227">
        <v>7.8447561216490151E-3</v>
      </c>
      <c r="X11" s="227">
        <v>8.7313761386453321E-3</v>
      </c>
      <c r="Y11" s="227">
        <v>9.5929617196507527E-3</v>
      </c>
      <c r="Z11" s="227">
        <v>1.0501756161938675E-2</v>
      </c>
    </row>
    <row r="12" spans="1:28">
      <c r="A12" s="36" t="s">
        <v>575</v>
      </c>
      <c r="B12" s="227">
        <v>1.989786536070515E-2</v>
      </c>
      <c r="C12" s="227">
        <v>2.1074010319206717E-2</v>
      </c>
      <c r="D12" s="227">
        <v>2.1093275978968703E-2</v>
      </c>
      <c r="E12" s="227">
        <v>2.1223304954578599E-2</v>
      </c>
      <c r="F12" s="227">
        <v>2.1211929894872156E-2</v>
      </c>
      <c r="G12" s="227">
        <v>2.1077512937763981E-2</v>
      </c>
      <c r="H12" s="227">
        <v>2.1465098293986566E-2</v>
      </c>
      <c r="I12" s="227">
        <v>2.1847831863758372E-2</v>
      </c>
      <c r="J12" s="227">
        <v>2.2231339354731414E-2</v>
      </c>
      <c r="K12" s="227">
        <v>2.2591388156474417E-2</v>
      </c>
      <c r="L12" s="227">
        <v>2.2959405927605682E-2</v>
      </c>
      <c r="M12" s="227">
        <v>2.3360722149995867E-2</v>
      </c>
      <c r="N12" s="227">
        <v>2.3894962770218749E-2</v>
      </c>
      <c r="O12" s="227">
        <v>2.4423358021061149E-2</v>
      </c>
      <c r="P12" s="227">
        <v>2.4951710936519336E-2</v>
      </c>
      <c r="Q12" s="227">
        <v>2.5585868538833417E-2</v>
      </c>
      <c r="R12" s="227">
        <v>2.6227807655052959E-2</v>
      </c>
      <c r="S12" s="227">
        <v>2.6854420953299617E-2</v>
      </c>
      <c r="T12" s="227">
        <v>2.7436844268976794E-2</v>
      </c>
      <c r="U12" s="227">
        <v>2.8066787760854844E-2</v>
      </c>
      <c r="V12" s="227">
        <v>2.8724586011131561E-2</v>
      </c>
      <c r="W12" s="227">
        <v>2.9478324054790762E-2</v>
      </c>
      <c r="X12" s="227">
        <v>3.3152389124754343E-2</v>
      </c>
      <c r="Y12" s="227">
        <v>3.6624309652768819E-2</v>
      </c>
      <c r="Z12" s="227">
        <v>4.0081265547416464E-2</v>
      </c>
    </row>
    <row r="13" spans="1:28">
      <c r="A13" s="36" t="s">
        <v>576</v>
      </c>
      <c r="B13" s="227">
        <v>3.7405964801274436E-3</v>
      </c>
      <c r="C13" s="227">
        <v>3.9458169582075086E-3</v>
      </c>
      <c r="D13" s="227">
        <v>3.9748655238576293E-3</v>
      </c>
      <c r="E13" s="227">
        <v>4.0100200503993388E-3</v>
      </c>
      <c r="F13" s="227">
        <v>4.0250888619283338E-3</v>
      </c>
      <c r="G13" s="227">
        <v>4.0222106678891693E-3</v>
      </c>
      <c r="H13" s="227">
        <v>4.1229253400395368E-3</v>
      </c>
      <c r="I13" s="227">
        <v>4.2130340308750491E-3</v>
      </c>
      <c r="J13" s="227">
        <v>4.3035861916414057E-3</v>
      </c>
      <c r="K13" s="227">
        <v>4.3864206603227264E-3</v>
      </c>
      <c r="L13" s="227">
        <v>4.4703922895891653E-3</v>
      </c>
      <c r="M13" s="227">
        <v>4.5590612923370874E-3</v>
      </c>
      <c r="N13" s="227">
        <v>4.6737363437017385E-3</v>
      </c>
      <c r="O13" s="227">
        <v>4.7882775642998062E-3</v>
      </c>
      <c r="P13" s="227">
        <v>4.9050071197293292E-3</v>
      </c>
      <c r="Q13" s="227">
        <v>5.021851038871112E-3</v>
      </c>
      <c r="R13" s="227">
        <v>5.1398737728964384E-3</v>
      </c>
      <c r="S13" s="227">
        <v>5.262380183927687E-3</v>
      </c>
      <c r="T13" s="227">
        <v>5.3753409328175863E-3</v>
      </c>
      <c r="U13" s="227">
        <v>5.4985897765063444E-3</v>
      </c>
      <c r="V13" s="227">
        <v>5.6271332954475131E-3</v>
      </c>
      <c r="W13" s="227">
        <v>5.7647898166047857E-3</v>
      </c>
      <c r="X13" s="227">
        <v>6.4645097795605387E-3</v>
      </c>
      <c r="Y13" s="227">
        <v>7.1881448337910176E-3</v>
      </c>
      <c r="Z13" s="227">
        <v>7.9449803656438944E-3</v>
      </c>
    </row>
    <row r="14" spans="1:28">
      <c r="A14" s="36" t="s">
        <v>400</v>
      </c>
      <c r="B14" s="227">
        <v>9.3942736075330446E-3</v>
      </c>
      <c r="C14" s="227">
        <v>9.8746420051609076E-3</v>
      </c>
      <c r="D14" s="227">
        <v>9.8774956587463231E-3</v>
      </c>
      <c r="E14" s="227">
        <v>9.8809132778539845E-3</v>
      </c>
      <c r="F14" s="227">
        <v>9.8271704783134042E-3</v>
      </c>
      <c r="G14" s="227">
        <v>9.7082195374656125E-3</v>
      </c>
      <c r="H14" s="227">
        <v>9.8261519633673477E-3</v>
      </c>
      <c r="I14" s="227">
        <v>9.9861778116974859E-3</v>
      </c>
      <c r="J14" s="227">
        <v>1.0123013811983519E-2</v>
      </c>
      <c r="K14" s="227">
        <v>1.0248902217900277E-2</v>
      </c>
      <c r="L14" s="227">
        <v>1.0377311647934108E-2</v>
      </c>
      <c r="M14" s="227">
        <v>1.0551067782226538E-2</v>
      </c>
      <c r="N14" s="227">
        <v>1.0893158805941714E-2</v>
      </c>
      <c r="O14" s="227">
        <v>1.123917498856382E-2</v>
      </c>
      <c r="P14" s="227">
        <v>1.1576684648323449E-2</v>
      </c>
      <c r="Q14" s="227">
        <v>1.1805946103996118E-2</v>
      </c>
      <c r="R14" s="227">
        <v>1.2110936047320397E-2</v>
      </c>
      <c r="S14" s="227">
        <v>1.2337485558944752E-2</v>
      </c>
      <c r="T14" s="227">
        <v>1.2531329773475592E-2</v>
      </c>
      <c r="U14" s="227">
        <v>1.2755218615956724E-2</v>
      </c>
      <c r="V14" s="227">
        <v>1.2993319935187852E-2</v>
      </c>
      <c r="W14" s="227">
        <v>1.3207331108911972E-2</v>
      </c>
      <c r="X14" s="227">
        <v>1.4630106235926208E-2</v>
      </c>
      <c r="Y14" s="227">
        <v>1.5720226002454405E-2</v>
      </c>
      <c r="Z14" s="227">
        <v>1.6976780136067543E-2</v>
      </c>
    </row>
    <row r="15" spans="1:28">
      <c r="A15" s="36" t="s">
        <v>577</v>
      </c>
      <c r="B15" s="227">
        <v>3.9536166617103368E-3</v>
      </c>
      <c r="C15" s="227">
        <v>3.272939128233913E-3</v>
      </c>
      <c r="D15" s="227">
        <v>3.2017972416994514E-3</v>
      </c>
      <c r="E15" s="227">
        <v>3.1401471874522901E-3</v>
      </c>
      <c r="F15" s="227">
        <v>3.2070211452100679E-3</v>
      </c>
      <c r="G15" s="227">
        <v>3.169728472913815E-3</v>
      </c>
      <c r="H15" s="227">
        <v>3.0776290679659633E-3</v>
      </c>
      <c r="I15" s="227">
        <v>3.0106078515319172E-3</v>
      </c>
      <c r="J15" s="227">
        <v>2.9596116816421438E-3</v>
      </c>
      <c r="K15" s="227">
        <v>2.928010636907943E-3</v>
      </c>
      <c r="L15" s="227">
        <v>2.9318747825854588E-3</v>
      </c>
      <c r="M15" s="227">
        <v>2.9557685655329231E-3</v>
      </c>
      <c r="N15" s="227">
        <v>3.055469273375834E-3</v>
      </c>
      <c r="O15" s="227">
        <v>3.1923095177007871E-3</v>
      </c>
      <c r="P15" s="227">
        <v>3.349292278763336E-3</v>
      </c>
      <c r="Q15" s="227">
        <v>3.4661889229840232E-3</v>
      </c>
      <c r="R15" s="227">
        <v>3.6359716138911714E-3</v>
      </c>
      <c r="S15" s="227">
        <v>3.7703874189329114E-3</v>
      </c>
      <c r="T15" s="227">
        <v>3.8300472444370362E-3</v>
      </c>
      <c r="U15" s="227">
        <v>3.89935903687971E-3</v>
      </c>
      <c r="V15" s="227">
        <v>3.9814365234096885E-3</v>
      </c>
      <c r="W15" s="227">
        <v>4.049850401136112E-3</v>
      </c>
      <c r="X15" s="227">
        <v>4.5385171698087848E-3</v>
      </c>
      <c r="Y15" s="227">
        <v>4.6856982918221692E-3</v>
      </c>
      <c r="Z15" s="227">
        <v>4.904578405206611E-3</v>
      </c>
    </row>
    <row r="16" spans="1:28">
      <c r="A16" s="36" t="s">
        <v>668</v>
      </c>
      <c r="B16" s="227">
        <v>7.4844246185401282E-8</v>
      </c>
      <c r="C16" s="227">
        <v>5.8624428925054489E-8</v>
      </c>
      <c r="D16" s="227">
        <v>4.8538360327525509E-8</v>
      </c>
      <c r="E16" s="227">
        <v>3.8424740117636126E-8</v>
      </c>
      <c r="F16" s="227">
        <v>3.3771357640572825E-8</v>
      </c>
      <c r="G16" s="227">
        <v>2.7475872879220861E-8</v>
      </c>
      <c r="H16" s="227">
        <v>2.676808425838151E-8</v>
      </c>
      <c r="I16" s="227">
        <v>2.7463608231178659E-8</v>
      </c>
      <c r="J16" s="227">
        <v>2.7634755629990466E-8</v>
      </c>
      <c r="K16" s="227">
        <v>2.8071354089275943E-8</v>
      </c>
      <c r="L16" s="227">
        <v>2.8520751164473137E-8</v>
      </c>
      <c r="M16" s="227">
        <v>2.9432271121722117E-8</v>
      </c>
      <c r="N16" s="227">
        <v>3.3579467814902915E-8</v>
      </c>
      <c r="O16" s="227">
        <v>3.7623285466088806E-8</v>
      </c>
      <c r="P16" s="227">
        <v>4.0901821938273388E-8</v>
      </c>
      <c r="Q16" s="227">
        <v>3.9192020394097004E-4</v>
      </c>
      <c r="R16" s="227">
        <v>6.7727565575437666E-4</v>
      </c>
      <c r="S16" s="227">
        <v>9.956150651289652E-4</v>
      </c>
      <c r="T16" s="227">
        <v>1.3052541325742444E-3</v>
      </c>
      <c r="U16" s="227">
        <v>1.6084672646375941E-3</v>
      </c>
      <c r="V16" s="227">
        <v>1.9087275085970553E-3</v>
      </c>
      <c r="W16" s="227">
        <v>2.3867900392649426E-3</v>
      </c>
      <c r="X16" s="227">
        <v>3.7296792082086071E-3</v>
      </c>
      <c r="Y16" s="227">
        <v>4.7865075121987823E-3</v>
      </c>
      <c r="Z16" s="227">
        <v>5.2672611251803909E-3</v>
      </c>
    </row>
    <row r="17" spans="1:26">
      <c r="A17" s="36" t="s">
        <v>578</v>
      </c>
      <c r="B17" s="227">
        <v>5.2358613561869397E-2</v>
      </c>
      <c r="C17" s="227">
        <v>5.2292035922615901E-2</v>
      </c>
      <c r="D17" s="227">
        <v>5.2016197018420487E-2</v>
      </c>
      <c r="E17" s="227">
        <v>5.1835354820370105E-2</v>
      </c>
      <c r="F17" s="227">
        <v>5.2081854164188958E-2</v>
      </c>
      <c r="G17" s="227">
        <v>5.1605206915374589E-2</v>
      </c>
      <c r="H17" s="227">
        <v>5.1540669389027335E-2</v>
      </c>
      <c r="I17" s="227">
        <v>5.155602311607789E-2</v>
      </c>
      <c r="J17" s="227">
        <v>5.2313698757186562E-2</v>
      </c>
      <c r="K17" s="227">
        <v>5.301546807860158E-2</v>
      </c>
      <c r="L17" s="227">
        <v>5.3616667144041882E-2</v>
      </c>
      <c r="M17" s="227">
        <v>5.4051546136404061E-2</v>
      </c>
      <c r="N17" s="227">
        <v>5.5096691592314291E-2</v>
      </c>
      <c r="O17" s="227">
        <v>5.6292058789839117E-2</v>
      </c>
      <c r="P17" s="227">
        <v>5.7363357392964998E-2</v>
      </c>
      <c r="Q17" s="227">
        <v>5.8943094446684621E-2</v>
      </c>
      <c r="R17" s="227">
        <v>6.0329046425654877E-2</v>
      </c>
      <c r="S17" s="227">
        <v>6.1814807158633515E-2</v>
      </c>
      <c r="T17" s="227">
        <v>6.2782953238900235E-2</v>
      </c>
      <c r="U17" s="227">
        <v>6.4252187168136826E-2</v>
      </c>
      <c r="V17" s="227">
        <v>6.5728258077339105E-2</v>
      </c>
      <c r="W17" s="227">
        <v>6.7890892005187831E-2</v>
      </c>
      <c r="X17" s="227">
        <v>7.3106383317389598E-2</v>
      </c>
      <c r="Y17" s="227">
        <v>7.9253677165978934E-2</v>
      </c>
      <c r="Z17" s="227">
        <v>8.6131224751441665E-2</v>
      </c>
    </row>
    <row r="18" spans="1:26">
      <c r="A18" s="36" t="s">
        <v>658</v>
      </c>
      <c r="B18" s="227">
        <v>4.6450465012080775E-3</v>
      </c>
      <c r="C18" s="227">
        <v>6.0356794107202317E-3</v>
      </c>
      <c r="D18" s="227">
        <v>6.4413619944966192E-3</v>
      </c>
      <c r="E18" s="227">
        <v>6.9229510520011882E-3</v>
      </c>
      <c r="F18" s="227">
        <v>7.4593667706774726E-3</v>
      </c>
      <c r="G18" s="227">
        <v>7.8844308994169953E-3</v>
      </c>
      <c r="H18" s="227">
        <v>8.3217055106725966E-3</v>
      </c>
      <c r="I18" s="227">
        <v>8.7644576604887208E-3</v>
      </c>
      <c r="J18" s="227">
        <v>9.2292897581273542E-3</v>
      </c>
      <c r="K18" s="227">
        <v>9.6707697637692415E-3</v>
      </c>
      <c r="L18" s="227">
        <v>1.0116753676522247E-2</v>
      </c>
      <c r="M18" s="227">
        <v>1.0593044841862929E-2</v>
      </c>
      <c r="N18" s="227">
        <v>1.1221773162074872E-2</v>
      </c>
      <c r="O18" s="227">
        <v>1.1900566995677417E-2</v>
      </c>
      <c r="P18" s="227">
        <v>1.2639902697988007E-2</v>
      </c>
      <c r="Q18" s="227">
        <v>1.3436079319984159E-2</v>
      </c>
      <c r="R18" s="227">
        <v>1.4269935480175756E-2</v>
      </c>
      <c r="S18" s="227">
        <v>1.5123252597706397E-2</v>
      </c>
      <c r="T18" s="227">
        <v>1.5920561973391048E-2</v>
      </c>
      <c r="U18" s="227">
        <v>1.6773185968858639E-2</v>
      </c>
      <c r="V18" s="227">
        <v>1.7654070987744887E-2</v>
      </c>
      <c r="W18" s="227">
        <v>1.8599717117136469E-2</v>
      </c>
      <c r="X18" s="227">
        <v>2.3601180479183973E-2</v>
      </c>
      <c r="Y18" s="227">
        <v>2.7942644010851371E-2</v>
      </c>
      <c r="Z18" s="227">
        <v>3.1136617284328663E-2</v>
      </c>
    </row>
    <row r="19" spans="1:26">
      <c r="A19" s="36" t="s">
        <v>659</v>
      </c>
      <c r="B19" s="227">
        <v>2.9857347895642108E-2</v>
      </c>
      <c r="C19" s="227">
        <v>3.1957089069586712E-2</v>
      </c>
      <c r="D19" s="227">
        <v>3.2149178002588312E-2</v>
      </c>
      <c r="E19" s="227">
        <v>3.260327995893348E-2</v>
      </c>
      <c r="F19" s="227">
        <v>3.2809346539113937E-2</v>
      </c>
      <c r="G19" s="227">
        <v>3.279102757237861E-2</v>
      </c>
      <c r="H19" s="227">
        <v>3.3315783676328731E-2</v>
      </c>
      <c r="I19" s="227">
        <v>3.3807309665953321E-2</v>
      </c>
      <c r="J19" s="227">
        <v>3.4356066077013477E-2</v>
      </c>
      <c r="K19" s="227">
        <v>3.4856075809725481E-2</v>
      </c>
      <c r="L19" s="227">
        <v>3.5380572946579265E-2</v>
      </c>
      <c r="M19" s="227">
        <v>3.5919232843928166E-2</v>
      </c>
      <c r="N19" s="227">
        <v>3.6610433421146692E-2</v>
      </c>
      <c r="O19" s="227">
        <v>3.7271013487610687E-2</v>
      </c>
      <c r="P19" s="227">
        <v>3.7942927402782926E-2</v>
      </c>
      <c r="Q19" s="227">
        <v>3.8672155090402054E-2</v>
      </c>
      <c r="R19" s="227">
        <v>3.9393555010369931E-2</v>
      </c>
      <c r="S19" s="227">
        <v>4.0222629238228357E-2</v>
      </c>
      <c r="T19" s="227">
        <v>4.0951551640935925E-2</v>
      </c>
      <c r="U19" s="227">
        <v>4.1770022435331039E-2</v>
      </c>
      <c r="V19" s="227">
        <v>4.2631524479501609E-2</v>
      </c>
      <c r="W19" s="227">
        <v>4.3579147738591111E-2</v>
      </c>
      <c r="X19" s="227">
        <v>4.8285991518724383E-2</v>
      </c>
      <c r="Y19" s="227">
        <v>5.3223852553463055E-2</v>
      </c>
      <c r="Z19" s="227">
        <v>5.8299222792853836E-2</v>
      </c>
    </row>
    <row r="20" spans="1:26">
      <c r="A20" s="36" t="s">
        <v>660</v>
      </c>
      <c r="B20" s="227">
        <v>2.2298555159424292E-3</v>
      </c>
      <c r="C20" s="227">
        <v>2.4800086197154843E-3</v>
      </c>
      <c r="D20" s="227">
        <v>2.5505325258995465E-3</v>
      </c>
      <c r="E20" s="227">
        <v>2.6257537288423448E-3</v>
      </c>
      <c r="F20" s="227">
        <v>2.6639113506798343E-3</v>
      </c>
      <c r="G20" s="227">
        <v>2.6818772411766893E-3</v>
      </c>
      <c r="H20" s="227">
        <v>2.7276641977505983E-3</v>
      </c>
      <c r="I20" s="227">
        <v>2.7533620435975506E-3</v>
      </c>
      <c r="J20" s="227">
        <v>2.7917538763796578E-3</v>
      </c>
      <c r="K20" s="227">
        <v>2.8261937794606543E-3</v>
      </c>
      <c r="L20" s="227">
        <v>2.863211914733395E-3</v>
      </c>
      <c r="M20" s="227">
        <v>2.9013835041082196E-3</v>
      </c>
      <c r="N20" s="227">
        <v>2.9498343081443049E-3</v>
      </c>
      <c r="O20" s="227">
        <v>2.9999422595888502E-3</v>
      </c>
      <c r="P20" s="227">
        <v>3.050258185633101E-3</v>
      </c>
      <c r="Q20" s="227">
        <v>3.1086259810261417E-3</v>
      </c>
      <c r="R20" s="227">
        <v>3.1639375969959196E-3</v>
      </c>
      <c r="S20" s="227">
        <v>3.2263603434119614E-3</v>
      </c>
      <c r="T20" s="227">
        <v>3.2782271617551014E-3</v>
      </c>
      <c r="U20" s="227">
        <v>3.3346677677488549E-3</v>
      </c>
      <c r="V20" s="227">
        <v>3.3954559696860115E-3</v>
      </c>
      <c r="W20" s="227">
        <v>3.4637418795341441E-3</v>
      </c>
      <c r="X20" s="227">
        <v>3.786177822473139E-3</v>
      </c>
      <c r="Y20" s="227">
        <v>4.1095772869251933E-3</v>
      </c>
      <c r="Z20" s="227">
        <v>4.3861391350320106E-3</v>
      </c>
    </row>
    <row r="21" spans="1:26">
      <c r="A21" s="36" t="s">
        <v>661</v>
      </c>
      <c r="B21" s="227">
        <v>1.6324972857029358E-4</v>
      </c>
      <c r="C21" s="227">
        <v>1.5145973200099698E-4</v>
      </c>
      <c r="D21" s="227">
        <v>1.426220912693631E-4</v>
      </c>
      <c r="E21" s="227">
        <v>1.3744596421254646E-4</v>
      </c>
      <c r="F21" s="227">
        <v>1.3355298397459871E-4</v>
      </c>
      <c r="G21" s="227">
        <v>1.3022493996818995E-4</v>
      </c>
      <c r="H21" s="227">
        <v>1.3190346916901207E-4</v>
      </c>
      <c r="I21" s="227">
        <v>1.3639650284229187E-4</v>
      </c>
      <c r="J21" s="227">
        <v>1.3948246245707878E-4</v>
      </c>
      <c r="K21" s="227">
        <v>1.425316894861207E-4</v>
      </c>
      <c r="L21" s="227">
        <v>1.4553603429837849E-4</v>
      </c>
      <c r="M21" s="227">
        <v>1.4846375267113155E-4</v>
      </c>
      <c r="N21" s="227">
        <v>1.5149961227395412E-4</v>
      </c>
      <c r="O21" s="227">
        <v>1.5397012529244915E-4</v>
      </c>
      <c r="P21" s="227">
        <v>1.5667346554857763E-4</v>
      </c>
      <c r="Q21" s="227">
        <v>1.5918699666640239E-4</v>
      </c>
      <c r="R21" s="227">
        <v>1.6209824782721812E-4</v>
      </c>
      <c r="S21" s="227">
        <v>1.6578642784846365E-4</v>
      </c>
      <c r="T21" s="227">
        <v>1.6989373888920574E-4</v>
      </c>
      <c r="U21" s="227">
        <v>1.7451857364198919E-4</v>
      </c>
      <c r="V21" s="227">
        <v>1.7909619142381124E-4</v>
      </c>
      <c r="W21" s="227">
        <v>1.8405353576763254E-4</v>
      </c>
      <c r="X21" s="227">
        <v>2.0940425585030297E-4</v>
      </c>
      <c r="Y21" s="227">
        <v>2.4002247863262138E-4</v>
      </c>
      <c r="Z21" s="227">
        <v>2.8025966700077475E-4</v>
      </c>
    </row>
    <row r="22" spans="1:26">
      <c r="A22" s="36" t="s">
        <v>579</v>
      </c>
      <c r="B22" s="227">
        <v>7.3807622277016149E-2</v>
      </c>
      <c r="C22" s="227">
        <v>7.3543428244341097E-2</v>
      </c>
      <c r="D22" s="227">
        <v>7.3460448088934038E-2</v>
      </c>
      <c r="E22" s="227">
        <v>7.3377467933526994E-2</v>
      </c>
      <c r="F22" s="227">
        <v>7.3294487778119977E-2</v>
      </c>
      <c r="G22" s="227">
        <v>7.3076674770767819E-2</v>
      </c>
      <c r="H22" s="227">
        <v>7.2858861763415619E-2</v>
      </c>
      <c r="I22" s="227">
        <v>7.1095317315759882E-2</v>
      </c>
      <c r="J22" s="227">
        <v>7.0877504308407696E-2</v>
      </c>
      <c r="K22" s="227">
        <v>7.0659691301055538E-2</v>
      </c>
      <c r="L22" s="227">
        <v>7.0441878293703325E-2</v>
      </c>
      <c r="M22" s="227">
        <v>6.8311760110567263E-2</v>
      </c>
      <c r="N22" s="227">
        <v>6.216245787958237E-2</v>
      </c>
      <c r="O22" s="227">
        <v>5.6013161619587762E-2</v>
      </c>
      <c r="P22" s="227">
        <v>4.9863871142049904E-2</v>
      </c>
      <c r="Q22" s="227">
        <v>4.3714568911065017E-2</v>
      </c>
      <c r="R22" s="227">
        <v>3.7565272651070424E-2</v>
      </c>
      <c r="S22" s="227">
        <v>3.4882212728651621E-2</v>
      </c>
      <c r="T22" s="227">
        <v>3.2199152806232839E-2</v>
      </c>
      <c r="U22" s="227">
        <v>2.951609288381405E-2</v>
      </c>
      <c r="V22" s="227">
        <v>2.6833032961395251E-2</v>
      </c>
      <c r="W22" s="227">
        <v>2.4149973038976452E-2</v>
      </c>
      <c r="X22" s="227">
        <v>6.7707679234743764E-3</v>
      </c>
      <c r="Y22" s="227">
        <v>6.7707679234743747E-3</v>
      </c>
      <c r="Z22" s="227">
        <v>6.7707679234743747E-3</v>
      </c>
    </row>
    <row r="23" spans="1:26">
      <c r="A23" s="36" t="s">
        <v>669</v>
      </c>
      <c r="B23" s="227">
        <v>0.39069585636471377</v>
      </c>
      <c r="C23" s="227">
        <v>0.38652440762515422</v>
      </c>
      <c r="D23" s="227">
        <v>0.38294245617965533</v>
      </c>
      <c r="E23" s="227">
        <v>0.38046338249281481</v>
      </c>
      <c r="F23" s="227">
        <v>0.37998211574190655</v>
      </c>
      <c r="G23" s="227">
        <v>0.37692394511605404</v>
      </c>
      <c r="H23" s="227">
        <v>0.37565736910338027</v>
      </c>
      <c r="I23" s="227">
        <v>0.3697197217026072</v>
      </c>
      <c r="J23" s="227">
        <v>0.36846023273429274</v>
      </c>
      <c r="K23" s="227">
        <v>0.3646374074366654</v>
      </c>
      <c r="L23" s="227">
        <v>0.36145092144547675</v>
      </c>
      <c r="M23" s="227">
        <v>0.35760617867584965</v>
      </c>
      <c r="N23" s="227">
        <v>0.34360367584170731</v>
      </c>
      <c r="O23" s="227">
        <v>0.32668349777559791</v>
      </c>
      <c r="P23" s="227">
        <v>0.30886180898561832</v>
      </c>
      <c r="Q23" s="227">
        <v>0.28890804073772797</v>
      </c>
      <c r="R23" s="227">
        <v>0.26866028660567776</v>
      </c>
      <c r="S23" s="227">
        <v>0.26996416257472577</v>
      </c>
      <c r="T23" s="227">
        <v>0.2635995868255912</v>
      </c>
      <c r="U23" s="227">
        <v>0.2612893049848567</v>
      </c>
      <c r="V23" s="227">
        <v>0.25890802243574679</v>
      </c>
      <c r="W23" s="227">
        <v>0.25068569671758284</v>
      </c>
      <c r="X23" s="227">
        <v>0.20507739268672651</v>
      </c>
      <c r="Y23" s="227">
        <v>0.20674642272948596</v>
      </c>
      <c r="Z23" s="227">
        <v>0.21108724888717126</v>
      </c>
    </row>
    <row r="41" spans="1:27">
      <c r="A41" s="157"/>
      <c r="B41" s="157"/>
      <c r="C41" s="157"/>
      <c r="D41" s="157"/>
      <c r="E41" s="157"/>
      <c r="F41" s="157"/>
      <c r="G41" s="157"/>
      <c r="H41" s="157"/>
      <c r="I41" s="157"/>
    </row>
    <row r="42" spans="1:27">
      <c r="A42" s="36" t="s">
        <v>618</v>
      </c>
      <c r="B42" s="36" t="s">
        <v>619</v>
      </c>
      <c r="C42" s="36" t="s">
        <v>629</v>
      </c>
      <c r="D42" s="36" t="s">
        <v>630</v>
      </c>
      <c r="E42" s="36" t="s">
        <v>631</v>
      </c>
      <c r="F42" s="36" t="s">
        <v>632</v>
      </c>
      <c r="G42" s="36" t="s">
        <v>620</v>
      </c>
      <c r="H42" s="36" t="s">
        <v>633</v>
      </c>
      <c r="I42" s="36" t="s">
        <v>634</v>
      </c>
      <c r="J42" s="36" t="s">
        <v>635</v>
      </c>
      <c r="K42" s="36" t="s">
        <v>636</v>
      </c>
      <c r="L42" s="36" t="s">
        <v>621</v>
      </c>
      <c r="M42" s="36" t="s">
        <v>637</v>
      </c>
      <c r="N42" s="36" t="s">
        <v>638</v>
      </c>
      <c r="O42" s="36" t="s">
        <v>639</v>
      </c>
      <c r="P42" s="36" t="s">
        <v>640</v>
      </c>
      <c r="Q42" s="36" t="s">
        <v>622</v>
      </c>
      <c r="R42" s="36" t="s">
        <v>641</v>
      </c>
      <c r="S42" s="36" t="s">
        <v>642</v>
      </c>
      <c r="T42" s="36" t="s">
        <v>643</v>
      </c>
      <c r="U42" s="36" t="s">
        <v>644</v>
      </c>
      <c r="V42" s="36" t="s">
        <v>623</v>
      </c>
      <c r="W42" s="36" t="s">
        <v>624</v>
      </c>
      <c r="X42" s="36" t="s">
        <v>625</v>
      </c>
      <c r="Y42" s="36" t="s">
        <v>626</v>
      </c>
      <c r="Z42" s="36"/>
      <c r="AA42" s="36"/>
    </row>
    <row r="43" spans="1:27">
      <c r="A43" s="227">
        <v>53032.389033699299</v>
      </c>
      <c r="B43" s="227">
        <v>54490.406000000003</v>
      </c>
      <c r="C43" s="227">
        <v>55024.891060000002</v>
      </c>
      <c r="D43" s="227">
        <v>55559.376120000001</v>
      </c>
      <c r="E43" s="227">
        <v>56093.86118</v>
      </c>
      <c r="F43" s="227">
        <v>56628.346239999999</v>
      </c>
      <c r="G43" s="227">
        <v>57162.831299999998</v>
      </c>
      <c r="H43" s="227">
        <v>57704.58958</v>
      </c>
      <c r="I43" s="227">
        <v>58246.347849999998</v>
      </c>
      <c r="J43" s="227">
        <v>58788.106119999997</v>
      </c>
      <c r="K43" s="227">
        <v>59329.864390000002</v>
      </c>
      <c r="L43" s="227">
        <v>59871.622669999997</v>
      </c>
      <c r="M43" s="227">
        <v>60458.559639999999</v>
      </c>
      <c r="N43" s="227">
        <v>61045.496610000002</v>
      </c>
      <c r="O43" s="227">
        <v>61632.433579999997</v>
      </c>
      <c r="P43" s="227">
        <v>62219.37055</v>
      </c>
      <c r="Q43" s="227">
        <v>62806.307520000002</v>
      </c>
      <c r="R43" s="227">
        <v>63373.317900000002</v>
      </c>
      <c r="S43" s="227">
        <v>63940.328269999998</v>
      </c>
      <c r="T43" s="227">
        <v>64507.338649999998</v>
      </c>
      <c r="U43" s="227">
        <v>65074.349020000001</v>
      </c>
      <c r="V43" s="227">
        <v>65641.359389999998</v>
      </c>
      <c r="W43" s="227">
        <v>68587.870429999995</v>
      </c>
      <c r="X43" s="227">
        <v>71951.39632</v>
      </c>
      <c r="Y43" s="227">
        <v>75196.209430000003</v>
      </c>
    </row>
    <row r="50" spans="1:28">
      <c r="A50" s="227">
        <v>0</v>
      </c>
    </row>
    <row r="60" spans="1:28">
      <c r="B60" s="36" t="s">
        <v>618</v>
      </c>
      <c r="C60" s="36" t="s">
        <v>619</v>
      </c>
      <c r="D60" s="36" t="s">
        <v>629</v>
      </c>
      <c r="E60" s="36" t="s">
        <v>630</v>
      </c>
      <c r="F60" s="36" t="s">
        <v>631</v>
      </c>
      <c r="G60" s="36" t="s">
        <v>632</v>
      </c>
      <c r="H60" s="36" t="s">
        <v>620</v>
      </c>
      <c r="I60" s="36" t="s">
        <v>633</v>
      </c>
      <c r="J60" s="36" t="s">
        <v>634</v>
      </c>
      <c r="K60" s="36" t="s">
        <v>635</v>
      </c>
      <c r="L60" s="36" t="s">
        <v>636</v>
      </c>
      <c r="M60" s="36" t="s">
        <v>621</v>
      </c>
      <c r="N60" s="36" t="s">
        <v>637</v>
      </c>
      <c r="O60" s="36" t="s">
        <v>638</v>
      </c>
      <c r="P60" s="36" t="s">
        <v>639</v>
      </c>
      <c r="Q60" s="36" t="s">
        <v>640</v>
      </c>
      <c r="R60" s="36" t="s">
        <v>622</v>
      </c>
      <c r="S60" s="36" t="s">
        <v>641</v>
      </c>
      <c r="T60" s="36" t="s">
        <v>642</v>
      </c>
      <c r="U60" s="36" t="s">
        <v>643</v>
      </c>
      <c r="V60" s="36" t="s">
        <v>644</v>
      </c>
      <c r="W60" s="36" t="s">
        <v>623</v>
      </c>
      <c r="X60" s="36" t="s">
        <v>624</v>
      </c>
      <c r="Y60" s="36" t="s">
        <v>625</v>
      </c>
      <c r="Z60" s="36" t="s">
        <v>626</v>
      </c>
      <c r="AA60" s="36"/>
      <c r="AB60" s="36"/>
    </row>
    <row r="61" spans="1:28">
      <c r="A61" s="36" t="s">
        <v>282</v>
      </c>
      <c r="B61" s="227">
        <v>0.44199404226547501</v>
      </c>
      <c r="C61" s="227">
        <v>0.41506924712389454</v>
      </c>
      <c r="D61" s="227">
        <v>0.41095590142283056</v>
      </c>
      <c r="E61" s="227">
        <v>0.4061837861769807</v>
      </c>
      <c r="F61" s="227">
        <v>0.40201851885548318</v>
      </c>
      <c r="G61" s="227">
        <v>0.40168089356634368</v>
      </c>
      <c r="H61" s="227">
        <v>0.39998150390681497</v>
      </c>
      <c r="I61" s="227">
        <v>0.39592446814079063</v>
      </c>
      <c r="J61" s="227">
        <v>0.39158574891263176</v>
      </c>
      <c r="K61" s="227">
        <v>0.38732563374312451</v>
      </c>
      <c r="L61" s="227">
        <v>0.38310094356296781</v>
      </c>
      <c r="M61" s="227">
        <v>0.37893489245669187</v>
      </c>
      <c r="N61" s="227">
        <v>0.37344065614981531</v>
      </c>
      <c r="O61" s="227">
        <v>0.36741596258693782</v>
      </c>
      <c r="P61" s="227">
        <v>0.36159111798382843</v>
      </c>
      <c r="Q61" s="227">
        <v>0.3553887599034744</v>
      </c>
      <c r="R61" s="227">
        <v>0.3495699323755212</v>
      </c>
      <c r="S61" s="227">
        <v>0.34382584279373929</v>
      </c>
      <c r="T61" s="227">
        <v>0.33867944330583943</v>
      </c>
      <c r="U61" s="227">
        <v>0.3336824279664185</v>
      </c>
      <c r="V61" s="227">
        <v>0.32835277488695952</v>
      </c>
      <c r="W61" s="227">
        <v>0.32265152910235123</v>
      </c>
      <c r="X61" s="227">
        <v>0.29803995905848013</v>
      </c>
      <c r="Y61" s="227">
        <v>0.27688472904921468</v>
      </c>
      <c r="Z61" s="227">
        <v>0.26022095199914791</v>
      </c>
    </row>
    <row r="62" spans="1:28">
      <c r="A62" s="36" t="s">
        <v>283</v>
      </c>
      <c r="B62" s="227">
        <v>0.265196425359285</v>
      </c>
      <c r="C62" s="227">
        <v>0.2692999708076021</v>
      </c>
      <c r="D62" s="227">
        <v>0.27133571995542838</v>
      </c>
      <c r="E62" s="227">
        <v>0.27143719153351953</v>
      </c>
      <c r="F62" s="227">
        <v>0.27441461312697968</v>
      </c>
      <c r="G62" s="227">
        <v>0.27627440924610663</v>
      </c>
      <c r="H62" s="227">
        <v>0.27521103155949039</v>
      </c>
      <c r="I62" s="227">
        <v>0.27689063816194165</v>
      </c>
      <c r="J62" s="227">
        <v>0.27811494375265133</v>
      </c>
      <c r="K62" s="227">
        <v>0.27978735972756885</v>
      </c>
      <c r="L62" s="227">
        <v>0.28113219244077703</v>
      </c>
      <c r="M62" s="227">
        <v>0.28264420845955041</v>
      </c>
      <c r="N62" s="227">
        <v>0.28356839192289407</v>
      </c>
      <c r="O62" s="227">
        <v>0.28517482179068243</v>
      </c>
      <c r="P62" s="227">
        <v>0.2867065304888633</v>
      </c>
      <c r="Q62" s="227">
        <v>0.28797424378005493</v>
      </c>
      <c r="R62" s="227">
        <v>0.28987212438972887</v>
      </c>
      <c r="S62" s="227">
        <v>0.29117807849092531</v>
      </c>
      <c r="T62" s="227">
        <v>0.29309137158182175</v>
      </c>
      <c r="U62" s="227">
        <v>0.29443480975274122</v>
      </c>
      <c r="V62" s="227">
        <v>0.29591746215008535</v>
      </c>
      <c r="W62" s="227">
        <v>0.2972957762590166</v>
      </c>
      <c r="X62" s="227">
        <v>0.30498863422831507</v>
      </c>
      <c r="Y62" s="227">
        <v>0.31010958038231573</v>
      </c>
      <c r="Z62" s="227">
        <v>0.3156640038965034</v>
      </c>
    </row>
    <row r="63" spans="1:28">
      <c r="A63" s="36" t="s">
        <v>284</v>
      </c>
      <c r="B63" s="227">
        <v>8.8398808453095001E-2</v>
      </c>
      <c r="C63" s="227">
        <v>0.11157533069476883</v>
      </c>
      <c r="D63" s="227">
        <v>0.11319811323208288</v>
      </c>
      <c r="E63" s="227">
        <v>0.11748922329334233</v>
      </c>
      <c r="F63" s="227">
        <v>0.11837127225257003</v>
      </c>
      <c r="G63" s="227">
        <v>0.11661556175856673</v>
      </c>
      <c r="H63" s="227">
        <v>0.11921562771777357</v>
      </c>
      <c r="I63" s="227">
        <v>0.12139971578579511</v>
      </c>
      <c r="J63" s="227">
        <v>0.12439082954283499</v>
      </c>
      <c r="K63" s="227">
        <v>0.12692394130283294</v>
      </c>
      <c r="L63" s="227">
        <v>0.12981664923845451</v>
      </c>
      <c r="M63" s="227">
        <v>0.13254974971424965</v>
      </c>
      <c r="N63" s="227">
        <v>0.13667037555794481</v>
      </c>
      <c r="O63" s="227">
        <v>0.1407142331848269</v>
      </c>
      <c r="P63" s="227">
        <v>0.14470644759604906</v>
      </c>
      <c r="Q63" s="227">
        <v>0.1494121826312734</v>
      </c>
      <c r="R63" s="227">
        <v>0.15317481930566593</v>
      </c>
      <c r="S63" s="227">
        <v>0.15777308566379</v>
      </c>
      <c r="T63" s="227">
        <v>0.16122983625438872</v>
      </c>
      <c r="U63" s="227">
        <v>0.16516950304101824</v>
      </c>
      <c r="V63" s="227">
        <v>0.16936401413748819</v>
      </c>
      <c r="W63" s="227">
        <v>0.17409489299526326</v>
      </c>
      <c r="X63" s="227">
        <v>0.1926330163290243</v>
      </c>
      <c r="Y63" s="227">
        <v>0.20713471562337354</v>
      </c>
      <c r="Z63" s="227">
        <v>0.21970432018220121</v>
      </c>
    </row>
    <row r="64" spans="1:28">
      <c r="A64" s="36"/>
    </row>
    <row r="65" spans="1:40">
      <c r="A65" s="36"/>
    </row>
    <row r="66" spans="1:40">
      <c r="A66" s="36"/>
    </row>
    <row r="70" spans="1:40">
      <c r="A70" s="36" t="s">
        <v>618</v>
      </c>
      <c r="B70" s="36" t="s">
        <v>619</v>
      </c>
      <c r="C70" s="36" t="s">
        <v>629</v>
      </c>
      <c r="D70" s="36" t="s">
        <v>630</v>
      </c>
      <c r="E70" s="36" t="s">
        <v>631</v>
      </c>
      <c r="F70" s="36" t="s">
        <v>632</v>
      </c>
      <c r="G70" s="36" t="s">
        <v>620</v>
      </c>
      <c r="H70" s="36" t="s">
        <v>633</v>
      </c>
      <c r="I70" s="36" t="s">
        <v>634</v>
      </c>
      <c r="J70" s="36" t="s">
        <v>635</v>
      </c>
      <c r="K70" s="36" t="s">
        <v>636</v>
      </c>
      <c r="L70" s="36" t="s">
        <v>621</v>
      </c>
      <c r="M70" s="36" t="s">
        <v>637</v>
      </c>
      <c r="N70" s="36" t="s">
        <v>638</v>
      </c>
      <c r="O70" s="36" t="s">
        <v>639</v>
      </c>
      <c r="P70" s="36" t="s">
        <v>640</v>
      </c>
      <c r="Q70" s="36" t="s">
        <v>622</v>
      </c>
      <c r="R70" s="36" t="s">
        <v>641</v>
      </c>
      <c r="S70" s="36" t="s">
        <v>642</v>
      </c>
      <c r="T70" s="36" t="s">
        <v>643</v>
      </c>
      <c r="U70" s="36" t="s">
        <v>644</v>
      </c>
      <c r="V70" s="36" t="s">
        <v>623</v>
      </c>
      <c r="W70" s="36" t="s">
        <v>624</v>
      </c>
      <c r="X70" s="36" t="s">
        <v>625</v>
      </c>
      <c r="Y70" s="36" t="s">
        <v>626</v>
      </c>
      <c r="Z70" s="36"/>
      <c r="AA70" s="36"/>
    </row>
    <row r="71" spans="1:40">
      <c r="A71" s="227">
        <v>0.29255309573706834</v>
      </c>
      <c r="B71" s="227">
        <v>0.31033936443902632</v>
      </c>
      <c r="C71" s="227">
        <v>0.310853516527483</v>
      </c>
      <c r="D71" s="227">
        <v>0.31462819684853333</v>
      </c>
      <c r="E71" s="227">
        <v>0.31415942502905292</v>
      </c>
      <c r="F71" s="227">
        <v>0.31130193904494818</v>
      </c>
      <c r="G71" s="227">
        <v>0.31459024611380448</v>
      </c>
      <c r="H71" s="227">
        <v>0.31650447400338799</v>
      </c>
      <c r="I71" s="227">
        <v>0.31936398008917233</v>
      </c>
      <c r="J71" s="227">
        <v>0.32163453725964009</v>
      </c>
      <c r="K71" s="227">
        <v>0.3244115410310523</v>
      </c>
      <c r="L71" s="227">
        <v>0.32700563787954512</v>
      </c>
      <c r="M71" s="227">
        <v>0.33134517323896245</v>
      </c>
      <c r="N71" s="227">
        <v>0.33551044271433644</v>
      </c>
      <c r="O71" s="227">
        <v>0.33974210208241523</v>
      </c>
      <c r="P71" s="227">
        <v>0.34507606756823755</v>
      </c>
      <c r="Q71" s="227">
        <v>0.3491369633582434</v>
      </c>
      <c r="R71" s="227">
        <v>0.35462076778950063</v>
      </c>
      <c r="S71" s="227">
        <v>0.41398612554965125</v>
      </c>
      <c r="T71" s="227">
        <v>0.41960960291844196</v>
      </c>
      <c r="U71" s="227">
        <v>0.42573548578223286</v>
      </c>
      <c r="V71" s="227">
        <v>0.43298696082077121</v>
      </c>
      <c r="W71" s="227">
        <v>0.4628782521576732</v>
      </c>
      <c r="X71" s="227">
        <v>0.49054006914751352</v>
      </c>
      <c r="Y71" s="227">
        <v>0.51542158687162931</v>
      </c>
    </row>
    <row r="80" spans="1:40">
      <c r="B80" s="36" t="s">
        <v>618</v>
      </c>
      <c r="C80" s="36" t="s">
        <v>627</v>
      </c>
      <c r="D80" s="36" t="s">
        <v>628</v>
      </c>
      <c r="E80" s="36" t="s">
        <v>619</v>
      </c>
      <c r="F80" s="36" t="s">
        <v>629</v>
      </c>
      <c r="G80" s="36" t="s">
        <v>630</v>
      </c>
      <c r="H80" s="36" t="s">
        <v>631</v>
      </c>
      <c r="I80" s="36" t="s">
        <v>632</v>
      </c>
      <c r="J80" s="36" t="s">
        <v>620</v>
      </c>
      <c r="K80" s="36" t="s">
        <v>633</v>
      </c>
      <c r="L80" s="36" t="s">
        <v>634</v>
      </c>
      <c r="M80" s="36" t="s">
        <v>635</v>
      </c>
      <c r="N80" s="36" t="s">
        <v>636</v>
      </c>
      <c r="O80" s="36" t="s">
        <v>621</v>
      </c>
      <c r="P80" s="36" t="s">
        <v>637</v>
      </c>
      <c r="Q80" s="36" t="s">
        <v>638</v>
      </c>
      <c r="R80" s="36" t="s">
        <v>639</v>
      </c>
      <c r="S80" s="36" t="s">
        <v>640</v>
      </c>
      <c r="T80" s="36" t="s">
        <v>622</v>
      </c>
      <c r="U80" s="36" t="s">
        <v>641</v>
      </c>
      <c r="V80" s="36" t="s">
        <v>642</v>
      </c>
      <c r="W80" s="36" t="s">
        <v>643</v>
      </c>
      <c r="X80" s="36" t="s">
        <v>644</v>
      </c>
      <c r="Y80" s="36" t="s">
        <v>623</v>
      </c>
      <c r="Z80" s="36" t="s">
        <v>645</v>
      </c>
      <c r="AA80" s="36" t="s">
        <v>646</v>
      </c>
      <c r="AB80" s="36" t="s">
        <v>647</v>
      </c>
      <c r="AC80" s="36" t="s">
        <v>648</v>
      </c>
      <c r="AD80" s="36" t="s">
        <v>624</v>
      </c>
      <c r="AE80" s="36" t="s">
        <v>649</v>
      </c>
      <c r="AF80" s="36" t="s">
        <v>650</v>
      </c>
      <c r="AG80" s="36" t="s">
        <v>651</v>
      </c>
      <c r="AH80" s="36" t="s">
        <v>652</v>
      </c>
      <c r="AI80" s="36" t="s">
        <v>625</v>
      </c>
      <c r="AJ80" s="36" t="s">
        <v>653</v>
      </c>
      <c r="AK80" s="36" t="s">
        <v>654</v>
      </c>
      <c r="AL80" s="36" t="s">
        <v>655</v>
      </c>
      <c r="AM80" s="36" t="s">
        <v>656</v>
      </c>
      <c r="AN80" s="36" t="s">
        <v>626</v>
      </c>
    </row>
    <row r="81" spans="1:40">
      <c r="A81" s="36" t="s">
        <v>5</v>
      </c>
      <c r="B81" s="227">
        <v>3909.8230723716342</v>
      </c>
      <c r="C81" s="227">
        <v>4017.4336476921226</v>
      </c>
      <c r="D81" s="227">
        <v>4112.7088893820992</v>
      </c>
      <c r="E81" s="227">
        <v>4169.9896946656081</v>
      </c>
      <c r="F81" s="227">
        <v>4215.9528657502806</v>
      </c>
      <c r="G81" s="227">
        <v>4279.2025251925315</v>
      </c>
      <c r="H81" s="227">
        <v>4328.0618769895882</v>
      </c>
      <c r="I81" s="227">
        <v>4360.8403474947963</v>
      </c>
      <c r="J81" s="227">
        <v>4428.5987066951275</v>
      </c>
      <c r="K81" s="227">
        <v>4494.9116770693308</v>
      </c>
      <c r="L81" s="227">
        <v>4566.8495775997371</v>
      </c>
      <c r="M81" s="227">
        <v>4634.5934473228845</v>
      </c>
      <c r="N81" s="227">
        <v>4705.6226451971561</v>
      </c>
      <c r="O81" s="227">
        <v>4781.0688133524163</v>
      </c>
      <c r="P81" s="227">
        <v>4875.5522380305865</v>
      </c>
      <c r="Q81" s="227">
        <v>4969.2745496756752</v>
      </c>
      <c r="R81" s="227">
        <v>5064.8050069861301</v>
      </c>
      <c r="S81" s="227">
        <v>5161.6515941918169</v>
      </c>
      <c r="T81" s="227">
        <v>5259.7420594877722</v>
      </c>
      <c r="U81" s="227">
        <v>5366.9701427557138</v>
      </c>
      <c r="V81" s="227">
        <v>5466.5326183969719</v>
      </c>
      <c r="W81" s="227">
        <v>5574.5987950788513</v>
      </c>
      <c r="X81" s="227">
        <v>5687.6195915973249</v>
      </c>
      <c r="Y81" s="227">
        <v>5809.910636273542</v>
      </c>
      <c r="Z81" s="227">
        <v>5934.128853489392</v>
      </c>
      <c r="AA81" s="227">
        <v>6059.7072303045215</v>
      </c>
      <c r="AB81" s="227">
        <v>6183.5452382661588</v>
      </c>
      <c r="AC81" s="227">
        <v>6308.7397590167384</v>
      </c>
      <c r="AD81" s="227">
        <v>6435.2664441022116</v>
      </c>
      <c r="AE81" s="227">
        <v>6561.9282546140084</v>
      </c>
      <c r="AF81" s="227">
        <v>6690.3157524632825</v>
      </c>
      <c r="AG81" s="227">
        <v>6820.013980347615</v>
      </c>
      <c r="AH81" s="227">
        <v>6951.0557940299095</v>
      </c>
      <c r="AI81" s="227">
        <v>7082.6655769401777</v>
      </c>
      <c r="AJ81" s="227">
        <v>7215.3720978224865</v>
      </c>
      <c r="AK81" s="227">
        <v>7349.1884336324119</v>
      </c>
      <c r="AL81" s="227">
        <v>7477.0416489343297</v>
      </c>
      <c r="AM81" s="227">
        <v>7605.8789488691018</v>
      </c>
      <c r="AN81" s="227">
        <v>7735.7374814096302</v>
      </c>
    </row>
    <row r="82" spans="1:40">
      <c r="A82" s="36" t="s">
        <v>139</v>
      </c>
      <c r="B82" s="227">
        <v>180.14083292025444</v>
      </c>
      <c r="C82" s="227">
        <v>188.90418702664269</v>
      </c>
      <c r="D82" s="227">
        <v>198.71763553237321</v>
      </c>
      <c r="E82" s="227">
        <v>196.24633937516259</v>
      </c>
      <c r="F82" s="227">
        <v>194.54985661706726</v>
      </c>
      <c r="G82" s="227">
        <v>204.37044289206952</v>
      </c>
      <c r="H82" s="227">
        <v>200.95575618119034</v>
      </c>
      <c r="I82" s="227">
        <v>196.97517420374481</v>
      </c>
      <c r="J82" s="227">
        <v>201.94001887311234</v>
      </c>
      <c r="K82" s="227">
        <v>206.42469726966081</v>
      </c>
      <c r="L82" s="227">
        <v>210.32877394816833</v>
      </c>
      <c r="M82" s="227">
        <v>213.67118645131907</v>
      </c>
      <c r="N82" s="227">
        <v>217.10174299900615</v>
      </c>
      <c r="O82" s="227">
        <v>220.78004038314992</v>
      </c>
      <c r="P82" s="227">
        <v>226.01020666473462</v>
      </c>
      <c r="Q82" s="227">
        <v>231.04323042732418</v>
      </c>
      <c r="R82" s="227">
        <v>236.17922059036448</v>
      </c>
      <c r="S82" s="227">
        <v>240.96495440626856</v>
      </c>
      <c r="T82" s="227">
        <v>245.70085150015197</v>
      </c>
      <c r="U82" s="227">
        <v>249.91826236707951</v>
      </c>
      <c r="V82" s="227">
        <v>253.48271779607992</v>
      </c>
      <c r="W82" s="227">
        <v>257.41428936173634</v>
      </c>
      <c r="X82" s="227">
        <v>261.52313143032126</v>
      </c>
      <c r="Y82" s="227">
        <v>265.89220235635634</v>
      </c>
      <c r="Z82" s="227">
        <v>270.65937630592896</v>
      </c>
      <c r="AA82" s="227">
        <v>275.56521162078428</v>
      </c>
      <c r="AB82" s="227">
        <v>280.36303426252329</v>
      </c>
      <c r="AC82" s="227">
        <v>285.17246096697249</v>
      </c>
      <c r="AD82" s="227">
        <v>289.96960438837408</v>
      </c>
      <c r="AE82" s="227">
        <v>294.33252318358814</v>
      </c>
      <c r="AF82" s="227">
        <v>298.69756469203412</v>
      </c>
      <c r="AG82" s="227">
        <v>303.01302500943274</v>
      </c>
      <c r="AH82" s="227">
        <v>307.3203732347194</v>
      </c>
      <c r="AI82" s="227">
        <v>311.92737336650924</v>
      </c>
      <c r="AJ82" s="227">
        <v>316.56680162264018</v>
      </c>
      <c r="AK82" s="227">
        <v>321.39339442761377</v>
      </c>
      <c r="AL82" s="227">
        <v>325.9569213919803</v>
      </c>
      <c r="AM82" s="227">
        <v>330.77661626514703</v>
      </c>
      <c r="AN82" s="227">
        <v>335.68834226147169</v>
      </c>
    </row>
    <row r="83" spans="1:40">
      <c r="A83" s="36" t="s">
        <v>399</v>
      </c>
      <c r="B83" s="227">
        <v>443.83083450094131</v>
      </c>
      <c r="C83" s="227">
        <v>450.0522422455395</v>
      </c>
      <c r="D83" s="227">
        <v>455.99994961075856</v>
      </c>
      <c r="E83" s="227">
        <v>461.13796012538489</v>
      </c>
      <c r="F83" s="227">
        <v>465.18639315874987</v>
      </c>
      <c r="G83" s="227">
        <v>468.32698264744823</v>
      </c>
      <c r="H83" s="227">
        <v>462.47111999905707</v>
      </c>
      <c r="I83" s="227">
        <v>455.79085226644992</v>
      </c>
      <c r="J83" s="227">
        <v>461.67517847612567</v>
      </c>
      <c r="K83" s="227">
        <v>466.59209161793632</v>
      </c>
      <c r="L83" s="227">
        <v>471.39512501383098</v>
      </c>
      <c r="M83" s="227">
        <v>475.55886260426394</v>
      </c>
      <c r="N83" s="227">
        <v>479.70148362787205</v>
      </c>
      <c r="O83" s="227">
        <v>488.03488744622467</v>
      </c>
      <c r="P83" s="227">
        <v>497.28301826143218</v>
      </c>
      <c r="Q83" s="227">
        <v>507.38356823855031</v>
      </c>
      <c r="R83" s="227">
        <v>518.44491693337238</v>
      </c>
      <c r="S83" s="227">
        <v>526.83096225704571</v>
      </c>
      <c r="T83" s="227">
        <v>536.55867491942183</v>
      </c>
      <c r="U83" s="227">
        <v>546.78056043653976</v>
      </c>
      <c r="V83" s="227">
        <v>557.43910652438342</v>
      </c>
      <c r="W83" s="227">
        <v>568.23001859746068</v>
      </c>
      <c r="X83" s="227">
        <v>579.03792200611156</v>
      </c>
      <c r="Y83" s="227">
        <v>591.78872698780094</v>
      </c>
      <c r="Z83" s="227">
        <v>604.86094467775411</v>
      </c>
      <c r="AA83" s="227">
        <v>617.93878602605093</v>
      </c>
      <c r="AB83" s="227">
        <v>630.84248275230482</v>
      </c>
      <c r="AC83" s="227">
        <v>643.9007298979318</v>
      </c>
      <c r="AD83" s="227">
        <v>657.87267061821603</v>
      </c>
      <c r="AE83" s="227">
        <v>670.16453432851984</v>
      </c>
      <c r="AF83" s="227">
        <v>682.25751230976334</v>
      </c>
      <c r="AG83" s="227">
        <v>694.2226719208951</v>
      </c>
      <c r="AH83" s="227">
        <v>706.17039163850757</v>
      </c>
      <c r="AI83" s="227">
        <v>718.26168694671912</v>
      </c>
      <c r="AJ83" s="227">
        <v>729.88724738922667</v>
      </c>
      <c r="AK83" s="227">
        <v>741.64244946447809</v>
      </c>
      <c r="AL83" s="227">
        <v>752.96768240315998</v>
      </c>
      <c r="AM83" s="227">
        <v>764.47278795367447</v>
      </c>
      <c r="AN83" s="227">
        <v>776.22161587798246</v>
      </c>
    </row>
    <row r="84" spans="1:40">
      <c r="A84" s="36" t="s">
        <v>572</v>
      </c>
      <c r="B84" s="227">
        <v>349.04866288304379</v>
      </c>
      <c r="C84" s="227">
        <v>361.58452440304433</v>
      </c>
      <c r="D84" s="227">
        <v>372.81255059585715</v>
      </c>
      <c r="E84" s="227">
        <v>377.28185560802308</v>
      </c>
      <c r="F84" s="227">
        <v>381.2669968497276</v>
      </c>
      <c r="G84" s="227">
        <v>390.18760932120722</v>
      </c>
      <c r="H84" s="227">
        <v>392.78994415554689</v>
      </c>
      <c r="I84" s="227">
        <v>391.82737319859336</v>
      </c>
      <c r="J84" s="227">
        <v>399.67963855429548</v>
      </c>
      <c r="K84" s="227">
        <v>407.52451831690502</v>
      </c>
      <c r="L84" s="227">
        <v>414.87278761915036</v>
      </c>
      <c r="M84" s="227">
        <v>421.57709870404534</v>
      </c>
      <c r="N84" s="227">
        <v>428.36222507142048</v>
      </c>
      <c r="O84" s="227">
        <v>435.99876955767434</v>
      </c>
      <c r="P84" s="227">
        <v>446.63449156188813</v>
      </c>
      <c r="Q84" s="227">
        <v>456.78768507497534</v>
      </c>
      <c r="R84" s="227">
        <v>466.82784114887954</v>
      </c>
      <c r="S84" s="227">
        <v>476.2701165819721</v>
      </c>
      <c r="T84" s="227">
        <v>485.78801200731812</v>
      </c>
      <c r="U84" s="227">
        <v>494.31074494669167</v>
      </c>
      <c r="V84" s="227">
        <v>501.93547009672182</v>
      </c>
      <c r="W84" s="227">
        <v>510.34661134284374</v>
      </c>
      <c r="X84" s="227">
        <v>519.17982038094192</v>
      </c>
      <c r="Y84" s="227">
        <v>528.41450847244801</v>
      </c>
      <c r="Z84" s="227">
        <v>538.49454428554964</v>
      </c>
      <c r="AA84" s="227">
        <v>548.55434214792672</v>
      </c>
      <c r="AB84" s="227">
        <v>558.3622561694965</v>
      </c>
      <c r="AC84" s="227">
        <v>568.17778231512261</v>
      </c>
      <c r="AD84" s="227">
        <v>577.96636082104533</v>
      </c>
      <c r="AE84" s="227">
        <v>586.30865947319569</v>
      </c>
      <c r="AF84" s="227">
        <v>594.74392609972006</v>
      </c>
      <c r="AG84" s="227">
        <v>603.21002695415837</v>
      </c>
      <c r="AH84" s="227">
        <v>611.88250781395936</v>
      </c>
      <c r="AI84" s="227">
        <v>621.16012136380709</v>
      </c>
      <c r="AJ84" s="227">
        <v>630.5355937604985</v>
      </c>
      <c r="AK84" s="227">
        <v>640.00064044582837</v>
      </c>
      <c r="AL84" s="227">
        <v>648.92932423159596</v>
      </c>
      <c r="AM84" s="227">
        <v>658.03420081565093</v>
      </c>
      <c r="AN84" s="227">
        <v>667.19992522016105</v>
      </c>
    </row>
    <row r="85" spans="1:40">
      <c r="A85" s="36" t="s">
        <v>573</v>
      </c>
      <c r="B85" s="227">
        <v>1082.5498166213483</v>
      </c>
      <c r="C85" s="227">
        <v>1103.3893253895408</v>
      </c>
      <c r="D85" s="227">
        <v>1122.2617963497778</v>
      </c>
      <c r="E85" s="227">
        <v>1132.2764832527464</v>
      </c>
      <c r="F85" s="227">
        <v>1137.0388089193216</v>
      </c>
      <c r="G85" s="227">
        <v>1145.111922183796</v>
      </c>
      <c r="H85" s="227">
        <v>1147.4095629587512</v>
      </c>
      <c r="I85" s="227">
        <v>1144.689436502819</v>
      </c>
      <c r="J85" s="227">
        <v>1171.7415032722397</v>
      </c>
      <c r="K85" s="227">
        <v>1196.7712701189505</v>
      </c>
      <c r="L85" s="227">
        <v>1221.8994829057867</v>
      </c>
      <c r="M85" s="227">
        <v>1245.1447390196533</v>
      </c>
      <c r="N85" s="227">
        <v>1268.8519727463222</v>
      </c>
      <c r="O85" s="227">
        <v>1294.1675328862152</v>
      </c>
      <c r="P85" s="227">
        <v>1327.2535805467685</v>
      </c>
      <c r="Q85" s="227">
        <v>1360.2867625747911</v>
      </c>
      <c r="R85" s="227">
        <v>1393.8018555078247</v>
      </c>
      <c r="S85" s="227">
        <v>1427.397041379636</v>
      </c>
      <c r="T85" s="227">
        <v>1461.5272233607493</v>
      </c>
      <c r="U85" s="227">
        <v>1496.5718240376382</v>
      </c>
      <c r="V85" s="227">
        <v>1529.1471859056867</v>
      </c>
      <c r="W85" s="227">
        <v>1564.6072951366223</v>
      </c>
      <c r="X85" s="227">
        <v>1601.7057351947406</v>
      </c>
      <c r="Y85" s="227">
        <v>1641.3523666354392</v>
      </c>
      <c r="Z85" s="227">
        <v>1681.8986039797483</v>
      </c>
      <c r="AA85" s="227">
        <v>1722.8693821871452</v>
      </c>
      <c r="AB85" s="227">
        <v>1763.3885509468055</v>
      </c>
      <c r="AC85" s="227">
        <v>1804.3179411279948</v>
      </c>
      <c r="AD85" s="227">
        <v>1845.5801533702111</v>
      </c>
      <c r="AE85" s="227">
        <v>1885.5787016072725</v>
      </c>
      <c r="AF85" s="227">
        <v>1926.3088794643056</v>
      </c>
      <c r="AG85" s="227">
        <v>1967.5879864213866</v>
      </c>
      <c r="AH85" s="227">
        <v>2009.4805705666913</v>
      </c>
      <c r="AI85" s="227">
        <v>2052.2534970824408</v>
      </c>
      <c r="AJ85" s="227">
        <v>2095.9185060736154</v>
      </c>
      <c r="AK85" s="227">
        <v>2140.1590289810101</v>
      </c>
      <c r="AL85" s="227">
        <v>2182.860550804548</v>
      </c>
      <c r="AM85" s="227">
        <v>2225.9700991375498</v>
      </c>
      <c r="AN85" s="227">
        <v>2269.6221453796575</v>
      </c>
    </row>
    <row r="86" spans="1:40">
      <c r="A86" s="36" t="s">
        <v>574</v>
      </c>
      <c r="B86" s="227">
        <v>75.000468058325779</v>
      </c>
      <c r="C86" s="227">
        <v>77.206462182776605</v>
      </c>
      <c r="D86" s="227">
        <v>79.233001992146797</v>
      </c>
      <c r="E86" s="227">
        <v>80.325414065603397</v>
      </c>
      <c r="F86" s="227">
        <v>81.074181286301297</v>
      </c>
      <c r="G86" s="227">
        <v>82.135491096838194</v>
      </c>
      <c r="H86" s="227">
        <v>82.575165518189948</v>
      </c>
      <c r="I86" s="227">
        <v>82.571992926587612</v>
      </c>
      <c r="J86" s="227">
        <v>84.666924865367847</v>
      </c>
      <c r="K86" s="227">
        <v>86.553763633205463</v>
      </c>
      <c r="L86" s="227">
        <v>88.398185527674187</v>
      </c>
      <c r="M86" s="227">
        <v>90.086116258747253</v>
      </c>
      <c r="N86" s="227">
        <v>91.781265073414701</v>
      </c>
      <c r="O86" s="227">
        <v>93.623019686271164</v>
      </c>
      <c r="P86" s="227">
        <v>96.057605338887797</v>
      </c>
      <c r="Q86" s="227">
        <v>98.406307552842165</v>
      </c>
      <c r="R86" s="227">
        <v>100.71628868806327</v>
      </c>
      <c r="S86" s="227">
        <v>102.80353201923208</v>
      </c>
      <c r="T86" s="227">
        <v>105.05017086639188</v>
      </c>
      <c r="U86" s="227">
        <v>107.13345372012002</v>
      </c>
      <c r="V86" s="227">
        <v>109.09535098447303</v>
      </c>
      <c r="W86" s="227">
        <v>111.23381226524172</v>
      </c>
      <c r="X86" s="227">
        <v>113.46062324088486</v>
      </c>
      <c r="Y86" s="227">
        <v>115.78429523993394</v>
      </c>
      <c r="Z86" s="227">
        <v>118.37269460382545</v>
      </c>
      <c r="AA86" s="227">
        <v>120.99217633418549</v>
      </c>
      <c r="AB86" s="227">
        <v>123.58297565608348</v>
      </c>
      <c r="AC86" s="227">
        <v>126.20942273752061</v>
      </c>
      <c r="AD86" s="227">
        <v>128.87032012351665</v>
      </c>
      <c r="AE86" s="227">
        <v>131.31781044184783</v>
      </c>
      <c r="AF86" s="227">
        <v>133.81438903414502</v>
      </c>
      <c r="AG86" s="227">
        <v>136.34548250958849</v>
      </c>
      <c r="AH86" s="227">
        <v>138.93370787803605</v>
      </c>
      <c r="AI86" s="227">
        <v>141.58685047049599</v>
      </c>
      <c r="AJ86" s="227">
        <v>144.29193767652347</v>
      </c>
      <c r="AK86" s="227">
        <v>147.02721510812367</v>
      </c>
      <c r="AL86" s="227">
        <v>149.65008844993278</v>
      </c>
      <c r="AM86" s="227">
        <v>152.30673225781243</v>
      </c>
      <c r="AN86" s="227">
        <v>155.00015770230286</v>
      </c>
    </row>
    <row r="87" spans="1:40">
      <c r="A87" s="36" t="s">
        <v>575</v>
      </c>
      <c r="B87" s="227">
        <v>293.68157299503844</v>
      </c>
      <c r="C87" s="227">
        <v>302.56906829055174</v>
      </c>
      <c r="D87" s="227">
        <v>308.78886669432262</v>
      </c>
      <c r="E87" s="227">
        <v>311.04082712714512</v>
      </c>
      <c r="F87" s="227">
        <v>311.32517769245055</v>
      </c>
      <c r="G87" s="227">
        <v>313.24433401398545</v>
      </c>
      <c r="H87" s="227">
        <v>313.07644437522561</v>
      </c>
      <c r="I87" s="227">
        <v>311.09252385485195</v>
      </c>
      <c r="J87" s="227">
        <v>316.81307101013016</v>
      </c>
      <c r="K87" s="227">
        <v>322.46200846000175</v>
      </c>
      <c r="L87" s="227">
        <v>328.1223685620842</v>
      </c>
      <c r="M87" s="227">
        <v>333.43649128500107</v>
      </c>
      <c r="N87" s="227">
        <v>338.86823162280621</v>
      </c>
      <c r="O87" s="227">
        <v>344.79143882737037</v>
      </c>
      <c r="P87" s="227">
        <v>352.67653719650218</v>
      </c>
      <c r="Q87" s="227">
        <v>360.47536112145235</v>
      </c>
      <c r="R87" s="227">
        <v>368.27356019936468</v>
      </c>
      <c r="S87" s="227">
        <v>377.63337839082527</v>
      </c>
      <c r="T87" s="227">
        <v>387.10804745712147</v>
      </c>
      <c r="U87" s="227">
        <v>396.35651586077773</v>
      </c>
      <c r="V87" s="227">
        <v>404.9527643726833</v>
      </c>
      <c r="W87" s="227">
        <v>414.25038460676535</v>
      </c>
      <c r="X87" s="227">
        <v>423.95912578842768</v>
      </c>
      <c r="Y87" s="227">
        <v>435.08388566971541</v>
      </c>
      <c r="Z87" s="227">
        <v>445.92226429362887</v>
      </c>
      <c r="AA87" s="227">
        <v>456.79536202158442</v>
      </c>
      <c r="AB87" s="227">
        <v>467.54716086569351</v>
      </c>
      <c r="AC87" s="227">
        <v>478.38278411833869</v>
      </c>
      <c r="AD87" s="227">
        <v>489.31106981600476</v>
      </c>
      <c r="AE87" s="227">
        <v>499.17350070072263</v>
      </c>
      <c r="AF87" s="227">
        <v>509.24909566470996</v>
      </c>
      <c r="AG87" s="227">
        <v>519.48423290288065</v>
      </c>
      <c r="AH87" s="227">
        <v>529.90579546852791</v>
      </c>
      <c r="AI87" s="227">
        <v>540.55471145781962</v>
      </c>
      <c r="AJ87" s="227">
        <v>550.80056833928529</v>
      </c>
      <c r="AK87" s="227">
        <v>561.18191808133838</v>
      </c>
      <c r="AL87" s="227">
        <v>571.19953060696969</v>
      </c>
      <c r="AM87" s="227">
        <v>581.33092648651393</v>
      </c>
      <c r="AN87" s="227">
        <v>591.57748332356573</v>
      </c>
    </row>
    <row r="88" spans="1:40">
      <c r="A88" s="36" t="s">
        <v>576</v>
      </c>
      <c r="B88" s="227">
        <v>55.20915124860413</v>
      </c>
      <c r="C88" s="227">
        <v>56.416233774664079</v>
      </c>
      <c r="D88" s="227">
        <v>57.51998665205587</v>
      </c>
      <c r="E88" s="227">
        <v>58.238092882331792</v>
      </c>
      <c r="F88" s="227">
        <v>58.666833769795247</v>
      </c>
      <c r="G88" s="227">
        <v>59.185695289134586</v>
      </c>
      <c r="H88" s="227">
        <v>59.408102677705045</v>
      </c>
      <c r="I88" s="227">
        <v>59.365622113208104</v>
      </c>
      <c r="J88" s="227">
        <v>60.852115403046682</v>
      </c>
      <c r="K88" s="227">
        <v>62.182070229123504</v>
      </c>
      <c r="L88" s="227">
        <v>63.518570428008204</v>
      </c>
      <c r="M88" s="227">
        <v>64.741161727102025</v>
      </c>
      <c r="N88" s="227">
        <v>65.980536892371006</v>
      </c>
      <c r="O88" s="227">
        <v>67.28924271235995</v>
      </c>
      <c r="P88" s="227">
        <v>68.981783538099265</v>
      </c>
      <c r="Q88" s="227">
        <v>70.672349095168656</v>
      </c>
      <c r="R88" s="227">
        <v>72.395213273416303</v>
      </c>
      <c r="S88" s="227">
        <v>74.119765397295382</v>
      </c>
      <c r="T88" s="227">
        <v>75.861716181934952</v>
      </c>
      <c r="U88" s="227">
        <v>77.669843578589465</v>
      </c>
      <c r="V88" s="227">
        <v>79.337082240591727</v>
      </c>
      <c r="W88" s="227">
        <v>81.156167535832225</v>
      </c>
      <c r="X88" s="227">
        <v>83.053399332138952</v>
      </c>
      <c r="Y88" s="227">
        <v>85.085134040040302</v>
      </c>
      <c r="Z88" s="227">
        <v>87.149907831780212</v>
      </c>
      <c r="AA88" s="227">
        <v>89.228632986863403</v>
      </c>
      <c r="AB88" s="227">
        <v>91.276864625361199</v>
      </c>
      <c r="AC88" s="227">
        <v>93.340515068895542</v>
      </c>
      <c r="AD88" s="227">
        <v>95.412616694671797</v>
      </c>
      <c r="AE88" s="227">
        <v>97.482736615254282</v>
      </c>
      <c r="AF88" s="227">
        <v>99.598624964471441</v>
      </c>
      <c r="AG88" s="227">
        <v>101.74777854772506</v>
      </c>
      <c r="AH88" s="227">
        <v>103.90866067340411</v>
      </c>
      <c r="AI88" s="227">
        <v>106.09307297218004</v>
      </c>
      <c r="AJ88" s="227">
        <v>108.32681722872033</v>
      </c>
      <c r="AK88" s="227">
        <v>110.60659538409718</v>
      </c>
      <c r="AL88" s="227">
        <v>112.80397701640908</v>
      </c>
      <c r="AM88" s="227">
        <v>115.01998576002231</v>
      </c>
      <c r="AN88" s="227">
        <v>117.26355007933905</v>
      </c>
    </row>
    <row r="89" spans="1:40">
      <c r="A89" s="36" t="s">
        <v>400</v>
      </c>
      <c r="B89" s="227">
        <v>138.65432297348235</v>
      </c>
      <c r="C89" s="227">
        <v>142.12266971314781</v>
      </c>
      <c r="D89" s="227">
        <v>144.31924605882546</v>
      </c>
      <c r="E89" s="227">
        <v>145.74429690159306</v>
      </c>
      <c r="F89" s="227">
        <v>145.7864152624602</v>
      </c>
      <c r="G89" s="227">
        <v>145.83685744493761</v>
      </c>
      <c r="H89" s="227">
        <v>145.04364321717406</v>
      </c>
      <c r="I89" s="227">
        <v>143.28799260922457</v>
      </c>
      <c r="J89" s="227">
        <v>145.02861049552004</v>
      </c>
      <c r="K89" s="227">
        <v>147.39050419645295</v>
      </c>
      <c r="L89" s="227">
        <v>149.41012846658759</v>
      </c>
      <c r="M89" s="227">
        <v>151.26817225175074</v>
      </c>
      <c r="N89" s="227">
        <v>153.16342496937168</v>
      </c>
      <c r="O89" s="227">
        <v>155.72797015607856</v>
      </c>
      <c r="P89" s="227">
        <v>160.77704593033516</v>
      </c>
      <c r="Q89" s="227">
        <v>165.88405489597415</v>
      </c>
      <c r="R89" s="227">
        <v>170.86551225244887</v>
      </c>
      <c r="S89" s="227">
        <v>174.2492855220201</v>
      </c>
      <c r="T89" s="227">
        <v>178.75076971037063</v>
      </c>
      <c r="U89" s="227">
        <v>182.09451617407373</v>
      </c>
      <c r="V89" s="227">
        <v>184.95555040098273</v>
      </c>
      <c r="W89" s="227">
        <v>188.26002684827773</v>
      </c>
      <c r="X89" s="227">
        <v>191.77427165275228</v>
      </c>
      <c r="Y89" s="227">
        <v>194.93295912994941</v>
      </c>
      <c r="Z89" s="227">
        <v>199.16186977422791</v>
      </c>
      <c r="AA89" s="227">
        <v>203.40871811712265</v>
      </c>
      <c r="AB89" s="227">
        <v>207.57042117238524</v>
      </c>
      <c r="AC89" s="227">
        <v>211.73866791649681</v>
      </c>
      <c r="AD89" s="227">
        <v>215.9323392013878</v>
      </c>
      <c r="AE89" s="227">
        <v>218.94356178165179</v>
      </c>
      <c r="AF89" s="227">
        <v>222.07490230682529</v>
      </c>
      <c r="AG89" s="227">
        <v>225.28976179859211</v>
      </c>
      <c r="AH89" s="227">
        <v>228.59232348822613</v>
      </c>
      <c r="AI89" s="227">
        <v>232.02190870964381</v>
      </c>
      <c r="AJ89" s="227">
        <v>235.68749386811629</v>
      </c>
      <c r="AK89" s="227">
        <v>239.4466449427095</v>
      </c>
      <c r="AL89" s="227">
        <v>243.08149970352991</v>
      </c>
      <c r="AM89" s="227">
        <v>246.78206279704648</v>
      </c>
      <c r="AN89" s="227">
        <v>250.56795813872921</v>
      </c>
    </row>
    <row r="90" spans="1:40">
      <c r="A90" s="36" t="s">
        <v>577</v>
      </c>
      <c r="B90" s="227">
        <v>58.353212225642309</v>
      </c>
      <c r="C90" s="227">
        <v>52.526257302668824</v>
      </c>
      <c r="D90" s="227">
        <v>48.40358783887303</v>
      </c>
      <c r="E90" s="227">
        <v>48.306785379850503</v>
      </c>
      <c r="F90" s="227">
        <v>47.256770176484245</v>
      </c>
      <c r="G90" s="227">
        <v>46.346849208665709</v>
      </c>
      <c r="H90" s="227">
        <v>47.333872125480333</v>
      </c>
      <c r="I90" s="227">
        <v>46.783452748194733</v>
      </c>
      <c r="J90" s="227">
        <v>45.424116074301715</v>
      </c>
      <c r="K90" s="227">
        <v>44.434919700239305</v>
      </c>
      <c r="L90" s="227">
        <v>43.682244218801621</v>
      </c>
      <c r="M90" s="227">
        <v>43.215830140829503</v>
      </c>
      <c r="N90" s="227">
        <v>43.272862810429125</v>
      </c>
      <c r="O90" s="227">
        <v>43.625521934089242</v>
      </c>
      <c r="P90" s="227">
        <v>45.097049667202178</v>
      </c>
      <c r="Q90" s="227">
        <v>47.116736577022209</v>
      </c>
      <c r="R90" s="227">
        <v>49.43371597989821</v>
      </c>
      <c r="S90" s="227">
        <v>51.159046297006967</v>
      </c>
      <c r="T90" s="227">
        <v>53.664945639928973</v>
      </c>
      <c r="U90" s="227">
        <v>55.648849156434309</v>
      </c>
      <c r="V90" s="227">
        <v>56.529395440221201</v>
      </c>
      <c r="W90" s="227">
        <v>57.552399459128118</v>
      </c>
      <c r="X90" s="227">
        <v>58.763818117091581</v>
      </c>
      <c r="Y90" s="227">
        <v>59.773569407552337</v>
      </c>
      <c r="Z90" s="227">
        <v>61.179875681795465</v>
      </c>
      <c r="AA90" s="227">
        <v>62.6552823859897</v>
      </c>
      <c r="AB90" s="227">
        <v>64.095326581188928</v>
      </c>
      <c r="AC90" s="227">
        <v>65.532309941799667</v>
      </c>
      <c r="AD90" s="227">
        <v>66.986022738229977</v>
      </c>
      <c r="AE90" s="227">
        <v>67.586990146086009</v>
      </c>
      <c r="AF90" s="227">
        <v>68.024265703805057</v>
      </c>
      <c r="AG90" s="227">
        <v>68.403263141587928</v>
      </c>
      <c r="AH90" s="227">
        <v>68.766331418997666</v>
      </c>
      <c r="AI90" s="227">
        <v>69.158335327771667</v>
      </c>
      <c r="AJ90" s="227">
        <v>69.731902218938089</v>
      </c>
      <c r="AK90" s="227">
        <v>70.358947185354523</v>
      </c>
      <c r="AL90" s="227">
        <v>70.984198172455592</v>
      </c>
      <c r="AM90" s="227">
        <v>71.649544337438456</v>
      </c>
      <c r="AN90" s="227">
        <v>72.388885682334788</v>
      </c>
    </row>
    <row r="91" spans="1:40">
      <c r="A91" s="36" t="s">
        <v>668</v>
      </c>
      <c r="B91" s="227">
        <v>1.1046599999999999E-3</v>
      </c>
      <c r="C91" s="227">
        <v>1.0817377945283454E-3</v>
      </c>
      <c r="D91" s="227">
        <v>9.6758041839057219E-4</v>
      </c>
      <c r="E91" s="227">
        <v>8.6526439849403467E-4</v>
      </c>
      <c r="F91" s="227">
        <v>7.1639956111767007E-4</v>
      </c>
      <c r="G91" s="227">
        <v>5.6712807706288675E-4</v>
      </c>
      <c r="H91" s="227">
        <v>4.9844670542639334E-4</v>
      </c>
      <c r="I91" s="227">
        <v>4.0552880524141505E-4</v>
      </c>
      <c r="J91" s="227">
        <v>3.9508223362441202E-4</v>
      </c>
      <c r="K91" s="227">
        <v>4.0534778576701566E-4</v>
      </c>
      <c r="L91" s="227">
        <v>4.0787382744967378E-4</v>
      </c>
      <c r="M91" s="227">
        <v>4.1431778110831012E-4</v>
      </c>
      <c r="N91" s="227">
        <v>4.2095063531406417E-4</v>
      </c>
      <c r="O91" s="227">
        <v>4.3440416965096374E-4</v>
      </c>
      <c r="P91" s="227">
        <v>4.9561451690652465E-4</v>
      </c>
      <c r="Q91" s="227">
        <v>5.5529904623551833E-4</v>
      </c>
      <c r="R91" s="227">
        <v>6.0368844534032008E-4</v>
      </c>
      <c r="S91" s="227">
        <v>5.7845271286849922</v>
      </c>
      <c r="T91" s="227">
        <v>9.9962169975273483</v>
      </c>
      <c r="U91" s="227">
        <v>14.694731978740766</v>
      </c>
      <c r="V91" s="227">
        <v>19.26483468772923</v>
      </c>
      <c r="W91" s="227">
        <v>23.740094116962858</v>
      </c>
      <c r="X91" s="227">
        <v>28.171770538295501</v>
      </c>
      <c r="Y91" s="227">
        <v>35.227711135511321</v>
      </c>
      <c r="Z91" s="227">
        <v>39.191772569681149</v>
      </c>
      <c r="AA91" s="227">
        <v>43.155834003850956</v>
      </c>
      <c r="AB91" s="227">
        <v>47.119895438020826</v>
      </c>
      <c r="AC91" s="227">
        <v>51.083956872190669</v>
      </c>
      <c r="AD91" s="227">
        <v>55.048018306360476</v>
      </c>
      <c r="AE91" s="227">
        <v>58.167659464596902</v>
      </c>
      <c r="AF91" s="227">
        <v>61.287300622833328</v>
      </c>
      <c r="AG91" s="227">
        <v>64.406941781069762</v>
      </c>
      <c r="AH91" s="227">
        <v>67.526582939306195</v>
      </c>
      <c r="AI91" s="227">
        <v>70.6462240975426</v>
      </c>
      <c r="AJ91" s="227">
        <v>72.065355996608631</v>
      </c>
      <c r="AK91" s="227">
        <v>73.48448789567459</v>
      </c>
      <c r="AL91" s="227">
        <v>74.903619794740678</v>
      </c>
      <c r="AM91" s="227">
        <v>76.32275169380668</v>
      </c>
      <c r="AN91" s="227">
        <v>77.741883592872668</v>
      </c>
    </row>
    <row r="92" spans="1:40">
      <c r="A92" s="36" t="s">
        <v>578</v>
      </c>
      <c r="B92" s="227">
        <v>772.78440234376103</v>
      </c>
      <c r="C92" s="227">
        <v>775.18329624007413</v>
      </c>
      <c r="D92" s="227">
        <v>774.62766687945839</v>
      </c>
      <c r="E92" s="227">
        <v>771.80175292545334</v>
      </c>
      <c r="F92" s="227">
        <v>767.73052207687624</v>
      </c>
      <c r="G92" s="227">
        <v>765.06139047785553</v>
      </c>
      <c r="H92" s="227">
        <v>768.69958551650166</v>
      </c>
      <c r="I92" s="227">
        <v>761.66453370275269</v>
      </c>
      <c r="J92" s="227">
        <v>760.71199523134965</v>
      </c>
      <c r="K92" s="227">
        <v>760.93860781665978</v>
      </c>
      <c r="L92" s="227">
        <v>772.12148447539164</v>
      </c>
      <c r="M92" s="227">
        <v>782.47921453621666</v>
      </c>
      <c r="N92" s="227">
        <v>791.35258281070162</v>
      </c>
      <c r="O92" s="227">
        <v>797.77115808117458</v>
      </c>
      <c r="P92" s="227">
        <v>813.19693144611483</v>
      </c>
      <c r="Q92" s="227">
        <v>830.83989527725214</v>
      </c>
      <c r="R92" s="227">
        <v>846.65167474253678</v>
      </c>
      <c r="S92" s="227">
        <v>869.96772671317319</v>
      </c>
      <c r="T92" s="227">
        <v>890.42361732761981</v>
      </c>
      <c r="U92" s="227">
        <v>912.35263037728714</v>
      </c>
      <c r="V92" s="227">
        <v>926.64193521413699</v>
      </c>
      <c r="W92" s="227">
        <v>948.32702171029928</v>
      </c>
      <c r="X92" s="227">
        <v>970.1130182786959</v>
      </c>
      <c r="Y92" s="227">
        <v>1002.0323082241048</v>
      </c>
      <c r="Z92" s="227">
        <v>1015.068843989353</v>
      </c>
      <c r="AA92" s="227">
        <v>1031.3486818198521</v>
      </c>
      <c r="AB92" s="227">
        <v>1047.2760657271335</v>
      </c>
      <c r="AC92" s="227">
        <v>1063.23070376844</v>
      </c>
      <c r="AD92" s="227">
        <v>1079.010097788115</v>
      </c>
      <c r="AE92" s="227">
        <v>1096.8316283692918</v>
      </c>
      <c r="AF92" s="227">
        <v>1115.099389113185</v>
      </c>
      <c r="AG92" s="227">
        <v>1133.3450566172446</v>
      </c>
      <c r="AH92" s="227">
        <v>1151.5359993489212</v>
      </c>
      <c r="AI92" s="227">
        <v>1169.7407814262549</v>
      </c>
      <c r="AJ92" s="227">
        <v>1190.8023605502049</v>
      </c>
      <c r="AK92" s="227">
        <v>1211.2247865966058</v>
      </c>
      <c r="AL92" s="227">
        <v>1231.4350581652564</v>
      </c>
      <c r="AM92" s="227">
        <v>1251.336783771593</v>
      </c>
      <c r="AN92" s="227">
        <v>1271.2496094654523</v>
      </c>
    </row>
    <row r="93" spans="1:40">
      <c r="A93" s="36" t="s">
        <v>658</v>
      </c>
      <c r="B93" s="227">
        <v>68.558337207561834</v>
      </c>
      <c r="C93" s="227">
        <v>74.301707155335052</v>
      </c>
      <c r="D93" s="227">
        <v>81.205875353102883</v>
      </c>
      <c r="E93" s="227">
        <v>89.083315787963855</v>
      </c>
      <c r="F93" s="227">
        <v>95.070968090377391</v>
      </c>
      <c r="G93" s="227">
        <v>102.17895828838363</v>
      </c>
      <c r="H93" s="227">
        <v>110.09615991701764</v>
      </c>
      <c r="I93" s="227">
        <v>116.36987318670903</v>
      </c>
      <c r="J93" s="227">
        <v>122.82380647735967</v>
      </c>
      <c r="K93" s="227">
        <v>129.35858523115087</v>
      </c>
      <c r="L93" s="227">
        <v>136.21925189757059</v>
      </c>
      <c r="M93" s="227">
        <v>142.73525450148875</v>
      </c>
      <c r="N93" s="227">
        <v>149.31773230267248</v>
      </c>
      <c r="O93" s="227">
        <v>156.34752851976452</v>
      </c>
      <c r="P93" s="227">
        <v>165.62721348692764</v>
      </c>
      <c r="Q93" s="227">
        <v>175.6458379563347</v>
      </c>
      <c r="R93" s="227">
        <v>186.55802718316295</v>
      </c>
      <c r="S93" s="227">
        <v>198.30915719088051</v>
      </c>
      <c r="T93" s="227">
        <v>210.61641650424801</v>
      </c>
      <c r="U93" s="227">
        <v>223.21090886798112</v>
      </c>
      <c r="V93" s="227">
        <v>234.97875769849819</v>
      </c>
      <c r="W93" s="227">
        <v>247.56301996095843</v>
      </c>
      <c r="X93" s="227">
        <v>260.5643994197402</v>
      </c>
      <c r="Y93" s="227">
        <v>274.52161732939783</v>
      </c>
      <c r="Z93" s="227">
        <v>288.85756169629531</v>
      </c>
      <c r="AA93" s="227">
        <v>303.52699433565277</v>
      </c>
      <c r="AB93" s="227">
        <v>318.18809140438702</v>
      </c>
      <c r="AC93" s="227">
        <v>333.13071724809788</v>
      </c>
      <c r="AD93" s="227">
        <v>348.34047180530882</v>
      </c>
      <c r="AE93" s="227">
        <v>362.33106976297</v>
      </c>
      <c r="AF93" s="227">
        <v>375.73916780476867</v>
      </c>
      <c r="AG93" s="227">
        <v>388.53739596640992</v>
      </c>
      <c r="AH93" s="227">
        <v>400.72065135559495</v>
      </c>
      <c r="AI93" s="227">
        <v>412.41809098543439</v>
      </c>
      <c r="AJ93" s="227">
        <v>423.36248156676794</v>
      </c>
      <c r="AK93" s="227">
        <v>433.65000056060148</v>
      </c>
      <c r="AL93" s="227">
        <v>442.69101328650117</v>
      </c>
      <c r="AM93" s="227">
        <v>451.33432548883349</v>
      </c>
      <c r="AN93" s="227">
        <v>459.55938368466701</v>
      </c>
    </row>
    <row r="94" spans="1:40">
      <c r="A94" s="36" t="s">
        <v>659</v>
      </c>
      <c r="B94" s="227">
        <v>440.67806955657932</v>
      </c>
      <c r="C94" s="227">
        <v>454.32074532007795</v>
      </c>
      <c r="D94" s="227">
        <v>465.83497873068029</v>
      </c>
      <c r="E94" s="227">
        <v>471.6690969692126</v>
      </c>
      <c r="F94" s="227">
        <v>474.50422420402913</v>
      </c>
      <c r="G94" s="227">
        <v>481.20651987354051</v>
      </c>
      <c r="H94" s="227">
        <v>484.24794950993839</v>
      </c>
      <c r="I94" s="227">
        <v>483.97757161417184</v>
      </c>
      <c r="J94" s="227">
        <v>491.72268372811556</v>
      </c>
      <c r="K94" s="227">
        <v>498.97733759093461</v>
      </c>
      <c r="L94" s="227">
        <v>507.07668106671878</v>
      </c>
      <c r="M94" s="227">
        <v>514.4565503217234</v>
      </c>
      <c r="N94" s="227">
        <v>522.19784022344356</v>
      </c>
      <c r="O94" s="227">
        <v>530.14816469770483</v>
      </c>
      <c r="P94" s="227">
        <v>540.34990589419976</v>
      </c>
      <c r="Q94" s="227">
        <v>550.09970515615635</v>
      </c>
      <c r="R94" s="227">
        <v>560.01678580515534</v>
      </c>
      <c r="S94" s="227">
        <v>570.7797862823046</v>
      </c>
      <c r="T94" s="227">
        <v>581.42725320471379</v>
      </c>
      <c r="U94" s="227">
        <v>593.66393382111539</v>
      </c>
      <c r="V94" s="227">
        <v>604.42242846050704</v>
      </c>
      <c r="W94" s="227">
        <v>616.50260821803738</v>
      </c>
      <c r="X94" s="227">
        <v>629.21790560717841</v>
      </c>
      <c r="Y94" s="227">
        <v>643.20430486615032</v>
      </c>
      <c r="Z94" s="227">
        <v>657.03940337442702</v>
      </c>
      <c r="AA94" s="227">
        <v>671.01017241266732</v>
      </c>
      <c r="AB94" s="227">
        <v>684.75386987295315</v>
      </c>
      <c r="AC94" s="227">
        <v>698.64177516126369</v>
      </c>
      <c r="AD94" s="227">
        <v>712.67473599698326</v>
      </c>
      <c r="AE94" s="227">
        <v>726.81994189081126</v>
      </c>
      <c r="AF94" s="227">
        <v>741.2147206283048</v>
      </c>
      <c r="AG94" s="227">
        <v>755.77226120818909</v>
      </c>
      <c r="AH94" s="227">
        <v>770.5150379673687</v>
      </c>
      <c r="AI94" s="227">
        <v>785.55485502607132</v>
      </c>
      <c r="AJ94" s="227">
        <v>800.67565301847674</v>
      </c>
      <c r="AK94" s="227">
        <v>815.97584109843808</v>
      </c>
      <c r="AL94" s="227">
        <v>830.60337127281446</v>
      </c>
      <c r="AM94" s="227">
        <v>845.44525257356327</v>
      </c>
      <c r="AN94" s="227">
        <v>860.46453445229031</v>
      </c>
    </row>
    <row r="95" spans="1:40">
      <c r="A95" s="36" t="s">
        <v>660</v>
      </c>
      <c r="B95" s="227">
        <v>32.911443695205911</v>
      </c>
      <c r="C95" s="227">
        <v>34.109925667934199</v>
      </c>
      <c r="D95" s="227">
        <v>35.467452743928874</v>
      </c>
      <c r="E95" s="227">
        <v>36.603566225632882</v>
      </c>
      <c r="F95" s="227">
        <v>37.644460378168041</v>
      </c>
      <c r="G95" s="227">
        <v>38.754684053037508</v>
      </c>
      <c r="H95" s="227">
        <v>39.317869610876997</v>
      </c>
      <c r="I95" s="227">
        <v>39.583036295128096</v>
      </c>
      <c r="J95" s="227">
        <v>40.25882664678241</v>
      </c>
      <c r="K95" s="227">
        <v>40.638112748789162</v>
      </c>
      <c r="L95" s="227">
        <v>41.204755131638819</v>
      </c>
      <c r="M95" s="227">
        <v>41.713069200875509</v>
      </c>
      <c r="N95" s="227">
        <v>42.25943656235696</v>
      </c>
      <c r="O95" s="227">
        <v>42.822828273382278</v>
      </c>
      <c r="P95" s="227">
        <v>43.537935551688221</v>
      </c>
      <c r="Q95" s="227">
        <v>44.277501416318813</v>
      </c>
      <c r="R95" s="227">
        <v>45.0201368719069</v>
      </c>
      <c r="S95" s="227">
        <v>45.881613500306059</v>
      </c>
      <c r="T95" s="227">
        <v>46.697982597615407</v>
      </c>
      <c r="U95" s="227">
        <v>47.619308077801684</v>
      </c>
      <c r="V95" s="227">
        <v>48.384833852608793</v>
      </c>
      <c r="W95" s="227">
        <v>49.217866223094752</v>
      </c>
      <c r="X95" s="227">
        <v>50.115066723792658</v>
      </c>
      <c r="Y95" s="227">
        <v>51.122929278597198</v>
      </c>
      <c r="Z95" s="227">
        <v>52.071690021174511</v>
      </c>
      <c r="AA95" s="227">
        <v>53.039708605616745</v>
      </c>
      <c r="AB95" s="227">
        <v>53.983427781068897</v>
      </c>
      <c r="AC95" s="227">
        <v>54.928805893927347</v>
      </c>
      <c r="AD95" s="227">
        <v>55.881906847088828</v>
      </c>
      <c r="AE95" s="227">
        <v>56.863836343578157</v>
      </c>
      <c r="AF95" s="227">
        <v>57.83537602335614</v>
      </c>
      <c r="AG95" s="227">
        <v>58.801589905664599</v>
      </c>
      <c r="AH95" s="227">
        <v>59.737962021328464</v>
      </c>
      <c r="AI95" s="227">
        <v>60.655105464343244</v>
      </c>
      <c r="AJ95" s="227">
        <v>61.532943112194609</v>
      </c>
      <c r="AK95" s="227">
        <v>62.396891243268385</v>
      </c>
      <c r="AL95" s="227">
        <v>63.175088518527026</v>
      </c>
      <c r="AM95" s="227">
        <v>63.945168838171455</v>
      </c>
      <c r="AN95" s="227">
        <v>64.737006568309027</v>
      </c>
    </row>
    <row r="96" spans="1:40">
      <c r="A96" s="36" t="s">
        <v>661</v>
      </c>
      <c r="B96" s="227">
        <v>2.409476404047687</v>
      </c>
      <c r="C96" s="227">
        <v>2.4132310310079115</v>
      </c>
      <c r="D96" s="227">
        <v>2.3531400561287974</v>
      </c>
      <c r="E96" s="227">
        <v>2.2354625249049032</v>
      </c>
      <c r="F96" s="227">
        <v>2.1050237977057118</v>
      </c>
      <c r="G96" s="227">
        <v>2.0286270029485167</v>
      </c>
      <c r="H96" s="227">
        <v>1.9711687510610101</v>
      </c>
      <c r="I96" s="227">
        <v>1.9220486479202479</v>
      </c>
      <c r="J96" s="227">
        <v>1.9468228177660769</v>
      </c>
      <c r="K96" s="227">
        <v>2.01313752905638</v>
      </c>
      <c r="L96" s="227">
        <v>2.0586845994300469</v>
      </c>
      <c r="M96" s="227">
        <v>2.103689516996555</v>
      </c>
      <c r="N96" s="227">
        <v>2.1480319976741953</v>
      </c>
      <c r="O96" s="227">
        <v>2.1912435141564899</v>
      </c>
      <c r="P96" s="227">
        <v>2.2360511358478967</v>
      </c>
      <c r="Q96" s="227">
        <v>2.2725145522105969</v>
      </c>
      <c r="R96" s="227">
        <v>2.3124143708277476</v>
      </c>
      <c r="S96" s="227">
        <v>2.3495127107286966</v>
      </c>
      <c r="T96" s="227">
        <v>2.3924811801998205</v>
      </c>
      <c r="U96" s="227">
        <v>2.4469166932809019</v>
      </c>
      <c r="V96" s="227">
        <v>2.5075383501952735</v>
      </c>
      <c r="W96" s="227">
        <v>2.5757983730880722</v>
      </c>
      <c r="X96" s="227">
        <v>2.6433614994016335</v>
      </c>
      <c r="Y96" s="227">
        <v>2.7165291813805563</v>
      </c>
      <c r="Z96" s="227">
        <v>2.7905685326169829</v>
      </c>
      <c r="AA96" s="227">
        <v>2.8638262853216356</v>
      </c>
      <c r="AB96" s="227">
        <v>2.9377139585138807</v>
      </c>
      <c r="AC96" s="227">
        <v>3.0137415734987663</v>
      </c>
      <c r="AD96" s="227">
        <v>3.0906918976052942</v>
      </c>
      <c r="AE96" s="227">
        <v>3.1697184814327319</v>
      </c>
      <c r="AF96" s="227">
        <v>3.2542367046578771</v>
      </c>
      <c r="AG96" s="227">
        <v>3.3419769387443017</v>
      </c>
      <c r="AH96" s="227">
        <v>3.4379497093225986</v>
      </c>
      <c r="AI96" s="227">
        <v>3.5426000629294729</v>
      </c>
      <c r="AJ96" s="227">
        <v>3.6521174698569125</v>
      </c>
      <c r="AK96" s="227">
        <v>3.7673160517431366</v>
      </c>
      <c r="AL96" s="227">
        <v>3.8868397755713433</v>
      </c>
      <c r="AM96" s="227">
        <v>4.0120903877057357</v>
      </c>
      <c r="AN96" s="227">
        <v>4.1364788815183919</v>
      </c>
    </row>
    <row r="97" spans="1:46">
      <c r="A97" s="36" t="s">
        <v>579</v>
      </c>
      <c r="B97" s="227">
        <v>1089.359999999999</v>
      </c>
      <c r="C97" s="227">
        <v>1087.9315433393947</v>
      </c>
      <c r="D97" s="227">
        <v>1086.6853826196991</v>
      </c>
      <c r="E97" s="227">
        <v>1085.4606410644853</v>
      </c>
      <c r="F97" s="227">
        <v>1084.2358995092709</v>
      </c>
      <c r="G97" s="227">
        <v>1083.0111579540567</v>
      </c>
      <c r="H97" s="227">
        <v>1081.7864163988429</v>
      </c>
      <c r="I97" s="227">
        <v>1078.5716159437002</v>
      </c>
      <c r="J97" s="227">
        <v>1075.356815488557</v>
      </c>
      <c r="K97" s="227">
        <v>1049.3278672548934</v>
      </c>
      <c r="L97" s="227">
        <v>1046.1130667997502</v>
      </c>
      <c r="M97" s="227">
        <v>1042.8982663446077</v>
      </c>
      <c r="N97" s="227">
        <v>1039.6834658894643</v>
      </c>
      <c r="O97" s="227">
        <v>1008.2440904917324</v>
      </c>
      <c r="P97" s="227">
        <v>917.48376423161233</v>
      </c>
      <c r="Q97" s="227">
        <v>826.72352610003202</v>
      </c>
      <c r="R97" s="227">
        <v>735.96337331433995</v>
      </c>
      <c r="S97" s="227">
        <v>645.20304705421995</v>
      </c>
      <c r="T97" s="227">
        <v>554.44280892263976</v>
      </c>
      <c r="U97" s="227">
        <v>514.84231690142053</v>
      </c>
      <c r="V97" s="227">
        <v>475.24182488020159</v>
      </c>
      <c r="W97" s="227">
        <v>435.64133285898248</v>
      </c>
      <c r="X97" s="227">
        <v>396.04084083776326</v>
      </c>
      <c r="Y97" s="227">
        <v>356.44034881654403</v>
      </c>
      <c r="Z97" s="227">
        <v>305.13884281878518</v>
      </c>
      <c r="AA97" s="227">
        <v>253.83733682102621</v>
      </c>
      <c r="AB97" s="227">
        <v>202.53583082326739</v>
      </c>
      <c r="AC97" s="227">
        <v>151.23432482550857</v>
      </c>
      <c r="AD97" s="227">
        <v>99.932818827749728</v>
      </c>
      <c r="AE97" s="227">
        <v>99.932818827749713</v>
      </c>
      <c r="AF97" s="227">
        <v>99.932818827749728</v>
      </c>
      <c r="AG97" s="227">
        <v>99.932818827749713</v>
      </c>
      <c r="AH97" s="227">
        <v>99.932818827749742</v>
      </c>
      <c r="AI97" s="227">
        <v>99.932818827749699</v>
      </c>
      <c r="AJ97" s="227">
        <v>99.932818827749742</v>
      </c>
      <c r="AK97" s="227">
        <v>99.932818827749699</v>
      </c>
      <c r="AL97" s="227">
        <v>99.932818827749713</v>
      </c>
      <c r="AM97" s="227">
        <v>99.932818827749713</v>
      </c>
      <c r="AN97" s="227">
        <v>99.932818827749699</v>
      </c>
    </row>
    <row r="98" spans="1:46">
      <c r="A98" s="36" t="s">
        <v>669</v>
      </c>
      <c r="B98" s="227">
        <v>5766.4564303678908</v>
      </c>
      <c r="C98" s="227">
        <v>5734.4821894045599</v>
      </c>
      <c r="D98" s="227">
        <v>5719.6300342514933</v>
      </c>
      <c r="E98" s="227">
        <v>5704.888136217035</v>
      </c>
      <c r="F98" s="227">
        <v>5652.0204986169038</v>
      </c>
      <c r="G98" s="227">
        <v>5615.430731487425</v>
      </c>
      <c r="H98" s="227">
        <v>5608.3274983579013</v>
      </c>
      <c r="I98" s="227">
        <v>5563.190578210616</v>
      </c>
      <c r="J98" s="227">
        <v>5544.4966113464925</v>
      </c>
      <c r="K98" s="227">
        <v>5456.8601942264631</v>
      </c>
      <c r="L98" s="227">
        <v>5438.2708282477915</v>
      </c>
      <c r="M98" s="227">
        <v>5381.8480247791567</v>
      </c>
      <c r="N98" s="227">
        <v>5334.8172402575665</v>
      </c>
      <c r="O98" s="227">
        <v>5278.0709469302819</v>
      </c>
      <c r="P98" s="227">
        <v>5071.4016895174018</v>
      </c>
      <c r="Q98" s="227">
        <v>4821.6691468686631</v>
      </c>
      <c r="R98" s="227">
        <v>4558.6308006747395</v>
      </c>
      <c r="S98" s="227">
        <v>4264.1241317437352</v>
      </c>
      <c r="T98" s="227">
        <v>3965.2783924987407</v>
      </c>
      <c r="U98" s="227">
        <v>3984.522886249144</v>
      </c>
      <c r="V98" s="227">
        <v>3890.5852410008656</v>
      </c>
      <c r="W98" s="227">
        <v>3856.486748888809</v>
      </c>
      <c r="X98" s="227">
        <v>3821.3403252855355</v>
      </c>
      <c r="Y98" s="227">
        <v>3699.98331000707</v>
      </c>
      <c r="Z98" s="227">
        <v>3565.2616006358217</v>
      </c>
      <c r="AA98" s="227">
        <v>3430.5755292445729</v>
      </c>
      <c r="AB98" s="227">
        <v>3295.9334224498316</v>
      </c>
      <c r="AC98" s="227">
        <v>3161.346419908974</v>
      </c>
      <c r="AD98" s="227">
        <v>3026.8297718456697</v>
      </c>
      <c r="AE98" s="227">
        <v>3031.7588124842737</v>
      </c>
      <c r="AF98" s="227">
        <v>3036.6867414783264</v>
      </c>
      <c r="AG98" s="227">
        <v>3041.6135469863552</v>
      </c>
      <c r="AH98" s="227">
        <v>3046.5392169981073</v>
      </c>
      <c r="AI98" s="227">
        <v>3051.463739331527</v>
      </c>
      <c r="AJ98" s="227">
        <v>3064.2808989272171</v>
      </c>
      <c r="AK98" s="227">
        <v>3077.0962922869471</v>
      </c>
      <c r="AL98" s="227">
        <v>3089.9099270598485</v>
      </c>
      <c r="AM98" s="227">
        <v>3102.7218108509419</v>
      </c>
      <c r="AN98" s="227">
        <v>3115.5319512214605</v>
      </c>
    </row>
    <row r="100" spans="1:4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row>
    <row r="101" spans="1:46">
      <c r="A101" s="36"/>
    </row>
    <row r="102" spans="1:46">
      <c r="A102" s="36"/>
    </row>
    <row r="103" spans="1:46">
      <c r="A103" s="36"/>
    </row>
    <row r="110" spans="1:4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row>
    <row r="111" spans="1:46">
      <c r="A111" s="36"/>
    </row>
    <row r="112" spans="1:46">
      <c r="A112" s="36"/>
    </row>
    <row r="113" spans="1:47">
      <c r="A113" s="36"/>
    </row>
    <row r="114" spans="1:47">
      <c r="A114" s="36"/>
    </row>
    <row r="115" spans="1:47">
      <c r="A115" s="36"/>
    </row>
    <row r="116" spans="1:47">
      <c r="A116" s="36"/>
    </row>
    <row r="117" spans="1:47">
      <c r="A117" s="36"/>
    </row>
    <row r="118" spans="1:47">
      <c r="A118" s="36"/>
    </row>
    <row r="119" spans="1:47">
      <c r="A119" s="36"/>
    </row>
    <row r="120" spans="1:47">
      <c r="C120" s="36" t="s">
        <v>618</v>
      </c>
      <c r="D120" s="36" t="s">
        <v>627</v>
      </c>
      <c r="E120" s="36" t="s">
        <v>628</v>
      </c>
      <c r="F120" s="36" t="s">
        <v>619</v>
      </c>
      <c r="G120" s="36" t="s">
        <v>629</v>
      </c>
      <c r="H120" s="36" t="s">
        <v>630</v>
      </c>
      <c r="I120" s="36" t="s">
        <v>631</v>
      </c>
      <c r="J120" s="36" t="s">
        <v>632</v>
      </c>
      <c r="K120" s="36" t="s">
        <v>620</v>
      </c>
      <c r="L120" s="36" t="s">
        <v>633</v>
      </c>
      <c r="M120" s="36" t="s">
        <v>634</v>
      </c>
      <c r="N120" s="36" t="s">
        <v>635</v>
      </c>
      <c r="O120" s="36" t="s">
        <v>636</v>
      </c>
      <c r="P120" s="36" t="s">
        <v>621</v>
      </c>
      <c r="Q120" s="36" t="s">
        <v>637</v>
      </c>
      <c r="R120" s="36" t="s">
        <v>638</v>
      </c>
      <c r="S120" s="36" t="s">
        <v>639</v>
      </c>
      <c r="T120" s="36" t="s">
        <v>640</v>
      </c>
      <c r="U120" s="36" t="s">
        <v>622</v>
      </c>
      <c r="V120" s="36" t="s">
        <v>641</v>
      </c>
      <c r="W120" s="36" t="s">
        <v>642</v>
      </c>
      <c r="X120" s="36" t="s">
        <v>643</v>
      </c>
      <c r="Y120" s="36" t="s">
        <v>644</v>
      </c>
      <c r="Z120" s="36" t="s">
        <v>623</v>
      </c>
      <c r="AA120" s="36" t="s">
        <v>645</v>
      </c>
      <c r="AB120" s="36" t="s">
        <v>646</v>
      </c>
      <c r="AC120" s="36" t="s">
        <v>647</v>
      </c>
      <c r="AD120" s="36" t="s">
        <v>648</v>
      </c>
      <c r="AE120" s="36" t="s">
        <v>624</v>
      </c>
      <c r="AF120" s="36" t="s">
        <v>649</v>
      </c>
      <c r="AG120" s="36" t="s">
        <v>650</v>
      </c>
      <c r="AH120" s="36" t="s">
        <v>651</v>
      </c>
      <c r="AI120" s="36" t="s">
        <v>652</v>
      </c>
      <c r="AJ120" s="36" t="s">
        <v>625</v>
      </c>
      <c r="AK120" s="36" t="s">
        <v>653</v>
      </c>
      <c r="AL120" s="36" t="s">
        <v>654</v>
      </c>
      <c r="AM120" s="36" t="s">
        <v>655</v>
      </c>
      <c r="AN120" s="36" t="s">
        <v>656</v>
      </c>
      <c r="AO120" s="36" t="s">
        <v>626</v>
      </c>
      <c r="AP120" s="36"/>
      <c r="AQ120" s="36"/>
      <c r="AR120" s="36"/>
      <c r="AS120" s="36"/>
      <c r="AT120" s="36"/>
      <c r="AU120" s="36"/>
    </row>
    <row r="121" spans="1:47">
      <c r="A121" s="36" t="s">
        <v>282</v>
      </c>
      <c r="B121" s="36" t="s">
        <v>580</v>
      </c>
      <c r="C121" s="227" t="s">
        <v>407</v>
      </c>
      <c r="D121" s="227" t="s">
        <v>407</v>
      </c>
      <c r="E121" s="227" t="s">
        <v>407</v>
      </c>
      <c r="F121" s="227" t="s">
        <v>407</v>
      </c>
      <c r="G121" s="227" t="s">
        <v>407</v>
      </c>
      <c r="H121" s="227" t="s">
        <v>407</v>
      </c>
      <c r="I121" s="227" t="s">
        <v>407</v>
      </c>
      <c r="J121" s="227" t="s">
        <v>407</v>
      </c>
      <c r="K121" s="227" t="s">
        <v>407</v>
      </c>
      <c r="L121" s="227" t="s">
        <v>407</v>
      </c>
      <c r="M121" s="227" t="s">
        <v>407</v>
      </c>
      <c r="N121" s="227" t="s">
        <v>407</v>
      </c>
      <c r="O121" s="227" t="s">
        <v>407</v>
      </c>
      <c r="P121" s="227" t="s">
        <v>407</v>
      </c>
      <c r="Q121" s="227" t="s">
        <v>407</v>
      </c>
      <c r="R121" s="227" t="s">
        <v>407</v>
      </c>
      <c r="S121" s="227" t="s">
        <v>407</v>
      </c>
      <c r="T121" s="227" t="s">
        <v>407</v>
      </c>
      <c r="U121" s="227" t="s">
        <v>407</v>
      </c>
      <c r="V121" s="227" t="s">
        <v>407</v>
      </c>
      <c r="W121" s="227" t="s">
        <v>407</v>
      </c>
      <c r="X121" s="227" t="s">
        <v>407</v>
      </c>
      <c r="Y121" s="227" t="s">
        <v>407</v>
      </c>
      <c r="Z121" s="227" t="s">
        <v>407</v>
      </c>
      <c r="AA121" s="227" t="s">
        <v>407</v>
      </c>
      <c r="AB121" s="227" t="s">
        <v>407</v>
      </c>
      <c r="AC121" s="227" t="s">
        <v>407</v>
      </c>
      <c r="AD121" s="227" t="s">
        <v>407</v>
      </c>
      <c r="AE121" s="227" t="s">
        <v>407</v>
      </c>
      <c r="AF121" s="227" t="s">
        <v>407</v>
      </c>
      <c r="AG121" s="227" t="s">
        <v>407</v>
      </c>
      <c r="AH121" s="227" t="s">
        <v>407</v>
      </c>
      <c r="AI121" s="227" t="s">
        <v>407</v>
      </c>
      <c r="AJ121" s="227" t="s">
        <v>407</v>
      </c>
      <c r="AK121" s="227" t="s">
        <v>407</v>
      </c>
      <c r="AL121" s="227" t="s">
        <v>407</v>
      </c>
      <c r="AM121" s="227" t="s">
        <v>407</v>
      </c>
      <c r="AN121" s="227" t="s">
        <v>407</v>
      </c>
      <c r="AO121" s="227" t="s">
        <v>407</v>
      </c>
    </row>
    <row r="122" spans="1:47">
      <c r="A122" s="36" t="s">
        <v>282</v>
      </c>
      <c r="B122" s="36" t="s">
        <v>581</v>
      </c>
      <c r="C122" s="227" t="s">
        <v>407</v>
      </c>
      <c r="D122" s="227" t="s">
        <v>407</v>
      </c>
      <c r="E122" s="227" t="s">
        <v>407</v>
      </c>
      <c r="F122" s="227" t="s">
        <v>407</v>
      </c>
      <c r="G122" s="227" t="s">
        <v>407</v>
      </c>
      <c r="H122" s="227" t="s">
        <v>407</v>
      </c>
      <c r="I122" s="227" t="s">
        <v>407</v>
      </c>
      <c r="J122" s="227" t="s">
        <v>407</v>
      </c>
      <c r="K122" s="227" t="s">
        <v>407</v>
      </c>
      <c r="L122" s="227" t="s">
        <v>407</v>
      </c>
      <c r="M122" s="227" t="s">
        <v>407</v>
      </c>
      <c r="N122" s="227" t="s">
        <v>407</v>
      </c>
      <c r="O122" s="227" t="s">
        <v>407</v>
      </c>
      <c r="P122" s="227" t="s">
        <v>407</v>
      </c>
      <c r="Q122" s="227" t="s">
        <v>407</v>
      </c>
      <c r="R122" s="227" t="s">
        <v>407</v>
      </c>
      <c r="S122" s="227" t="s">
        <v>407</v>
      </c>
      <c r="T122" s="227" t="s">
        <v>407</v>
      </c>
      <c r="U122" s="227" t="s">
        <v>407</v>
      </c>
      <c r="V122" s="227" t="s">
        <v>407</v>
      </c>
      <c r="W122" s="227" t="s">
        <v>407</v>
      </c>
      <c r="X122" s="227" t="s">
        <v>407</v>
      </c>
      <c r="Y122" s="227" t="s">
        <v>407</v>
      </c>
      <c r="Z122" s="227" t="s">
        <v>407</v>
      </c>
      <c r="AA122" s="227" t="s">
        <v>407</v>
      </c>
      <c r="AB122" s="227" t="s">
        <v>407</v>
      </c>
      <c r="AC122" s="227" t="s">
        <v>407</v>
      </c>
      <c r="AD122" s="227" t="s">
        <v>407</v>
      </c>
      <c r="AE122" s="227" t="s">
        <v>407</v>
      </c>
      <c r="AF122" s="227" t="s">
        <v>407</v>
      </c>
      <c r="AG122" s="227" t="s">
        <v>407</v>
      </c>
      <c r="AH122" s="227" t="s">
        <v>407</v>
      </c>
      <c r="AI122" s="227" t="s">
        <v>407</v>
      </c>
      <c r="AJ122" s="227" t="s">
        <v>407</v>
      </c>
      <c r="AK122" s="227" t="s">
        <v>407</v>
      </c>
      <c r="AL122" s="227" t="s">
        <v>407</v>
      </c>
      <c r="AM122" s="227" t="s">
        <v>407</v>
      </c>
      <c r="AN122" s="227" t="s">
        <v>407</v>
      </c>
      <c r="AO122" s="227" t="s">
        <v>407</v>
      </c>
    </row>
    <row r="123" spans="1:47">
      <c r="A123" s="36" t="s">
        <v>282</v>
      </c>
      <c r="B123" s="36" t="s">
        <v>582</v>
      </c>
      <c r="C123" s="227" t="s">
        <v>407</v>
      </c>
      <c r="D123" s="227" t="s">
        <v>407</v>
      </c>
      <c r="E123" s="227" t="s">
        <v>407</v>
      </c>
      <c r="F123" s="227" t="s">
        <v>407</v>
      </c>
      <c r="G123" s="227" t="s">
        <v>407</v>
      </c>
      <c r="H123" s="227" t="s">
        <v>407</v>
      </c>
      <c r="I123" s="227" t="s">
        <v>407</v>
      </c>
      <c r="J123" s="227" t="s">
        <v>407</v>
      </c>
      <c r="K123" s="227" t="s">
        <v>407</v>
      </c>
      <c r="L123" s="227" t="s">
        <v>407</v>
      </c>
      <c r="M123" s="227" t="s">
        <v>407</v>
      </c>
      <c r="N123" s="227" t="s">
        <v>407</v>
      </c>
      <c r="O123" s="227" t="s">
        <v>407</v>
      </c>
      <c r="P123" s="227" t="s">
        <v>407</v>
      </c>
      <c r="Q123" s="227" t="s">
        <v>407</v>
      </c>
      <c r="R123" s="227" t="s">
        <v>407</v>
      </c>
      <c r="S123" s="227" t="s">
        <v>407</v>
      </c>
      <c r="T123" s="227" t="s">
        <v>407</v>
      </c>
      <c r="U123" s="227" t="s">
        <v>407</v>
      </c>
      <c r="V123" s="227" t="s">
        <v>407</v>
      </c>
      <c r="W123" s="227" t="s">
        <v>407</v>
      </c>
      <c r="X123" s="227" t="s">
        <v>407</v>
      </c>
      <c r="Y123" s="227" t="s">
        <v>407</v>
      </c>
      <c r="Z123" s="227" t="s">
        <v>407</v>
      </c>
      <c r="AA123" s="227" t="s">
        <v>407</v>
      </c>
      <c r="AB123" s="227" t="s">
        <v>407</v>
      </c>
      <c r="AC123" s="227" t="s">
        <v>407</v>
      </c>
      <c r="AD123" s="227" t="s">
        <v>407</v>
      </c>
      <c r="AE123" s="227" t="s">
        <v>407</v>
      </c>
      <c r="AF123" s="227" t="s">
        <v>407</v>
      </c>
      <c r="AG123" s="227" t="s">
        <v>407</v>
      </c>
      <c r="AH123" s="227" t="s">
        <v>407</v>
      </c>
      <c r="AI123" s="227" t="s">
        <v>407</v>
      </c>
      <c r="AJ123" s="227" t="s">
        <v>407</v>
      </c>
      <c r="AK123" s="227" t="s">
        <v>407</v>
      </c>
      <c r="AL123" s="227" t="s">
        <v>407</v>
      </c>
      <c r="AM123" s="227" t="s">
        <v>407</v>
      </c>
      <c r="AN123" s="227" t="s">
        <v>407</v>
      </c>
      <c r="AO123" s="227" t="s">
        <v>407</v>
      </c>
    </row>
    <row r="124" spans="1:47">
      <c r="A124" s="36" t="s">
        <v>282</v>
      </c>
      <c r="B124" s="36" t="s">
        <v>583</v>
      </c>
      <c r="C124" s="227" t="s">
        <v>407</v>
      </c>
      <c r="D124" s="227" t="s">
        <v>407</v>
      </c>
      <c r="E124" s="227" t="s">
        <v>407</v>
      </c>
      <c r="F124" s="227" t="s">
        <v>407</v>
      </c>
      <c r="G124" s="227" t="s">
        <v>407</v>
      </c>
      <c r="H124" s="227" t="s">
        <v>407</v>
      </c>
      <c r="I124" s="227" t="s">
        <v>407</v>
      </c>
      <c r="J124" s="227" t="s">
        <v>407</v>
      </c>
      <c r="K124" s="227" t="s">
        <v>407</v>
      </c>
      <c r="L124" s="227" t="s">
        <v>407</v>
      </c>
      <c r="M124" s="227" t="s">
        <v>407</v>
      </c>
      <c r="N124" s="227" t="s">
        <v>407</v>
      </c>
      <c r="O124" s="227" t="s">
        <v>407</v>
      </c>
      <c r="P124" s="227" t="s">
        <v>407</v>
      </c>
      <c r="Q124" s="227" t="s">
        <v>407</v>
      </c>
      <c r="R124" s="227" t="s">
        <v>407</v>
      </c>
      <c r="S124" s="227" t="s">
        <v>407</v>
      </c>
      <c r="T124" s="227" t="s">
        <v>407</v>
      </c>
      <c r="U124" s="227" t="s">
        <v>407</v>
      </c>
      <c r="V124" s="227" t="s">
        <v>407</v>
      </c>
      <c r="W124" s="227" t="s">
        <v>407</v>
      </c>
      <c r="X124" s="227" t="s">
        <v>407</v>
      </c>
      <c r="Y124" s="227" t="s">
        <v>407</v>
      </c>
      <c r="Z124" s="227" t="s">
        <v>407</v>
      </c>
    </row>
    <row r="125" spans="1:47">
      <c r="A125" s="36" t="s">
        <v>282</v>
      </c>
      <c r="B125" s="36" t="s">
        <v>584</v>
      </c>
      <c r="C125" s="227" t="s">
        <v>407</v>
      </c>
      <c r="D125" s="227" t="s">
        <v>407</v>
      </c>
      <c r="E125" s="227" t="s">
        <v>407</v>
      </c>
      <c r="F125" s="227" t="s">
        <v>407</v>
      </c>
      <c r="G125" s="227" t="s">
        <v>407</v>
      </c>
      <c r="H125" s="227" t="s">
        <v>407</v>
      </c>
      <c r="I125" s="227" t="s">
        <v>407</v>
      </c>
      <c r="J125" s="227" t="s">
        <v>407</v>
      </c>
      <c r="K125" s="227" t="s">
        <v>407</v>
      </c>
    </row>
    <row r="126" spans="1:47">
      <c r="A126" s="36" t="s">
        <v>283</v>
      </c>
      <c r="B126" s="36" t="s">
        <v>583</v>
      </c>
      <c r="AA126" s="227" t="s">
        <v>407</v>
      </c>
      <c r="AB126" s="227" t="s">
        <v>407</v>
      </c>
      <c r="AC126" s="227" t="s">
        <v>407</v>
      </c>
      <c r="AD126" s="227" t="s">
        <v>407</v>
      </c>
      <c r="AE126" s="227" t="s">
        <v>407</v>
      </c>
      <c r="AF126" s="227" t="s">
        <v>407</v>
      </c>
      <c r="AG126" s="227" t="s">
        <v>407</v>
      </c>
      <c r="AH126" s="227" t="s">
        <v>407</v>
      </c>
      <c r="AI126" s="227" t="s">
        <v>407</v>
      </c>
      <c r="AJ126" s="227" t="s">
        <v>407</v>
      </c>
      <c r="AK126" s="227" t="s">
        <v>407</v>
      </c>
      <c r="AL126" s="227" t="s">
        <v>407</v>
      </c>
      <c r="AM126" s="227" t="s">
        <v>407</v>
      </c>
      <c r="AN126" s="227" t="s">
        <v>407</v>
      </c>
      <c r="AO126" s="227" t="s">
        <v>407</v>
      </c>
    </row>
    <row r="127" spans="1:47">
      <c r="A127" s="36" t="s">
        <v>283</v>
      </c>
      <c r="B127" s="36" t="s">
        <v>584</v>
      </c>
      <c r="L127" s="227" t="s">
        <v>407</v>
      </c>
      <c r="M127" s="227" t="s">
        <v>407</v>
      </c>
      <c r="N127" s="227" t="s">
        <v>407</v>
      </c>
      <c r="O127" s="227" t="s">
        <v>407</v>
      </c>
      <c r="P127" s="227" t="s">
        <v>407</v>
      </c>
      <c r="Q127" s="227" t="s">
        <v>407</v>
      </c>
      <c r="R127" s="227" t="s">
        <v>407</v>
      </c>
      <c r="S127" s="227" t="s">
        <v>407</v>
      </c>
      <c r="T127" s="227" t="s">
        <v>407</v>
      </c>
      <c r="U127" s="227" t="s">
        <v>407</v>
      </c>
      <c r="V127" s="227" t="s">
        <v>407</v>
      </c>
      <c r="W127" s="227" t="s">
        <v>407</v>
      </c>
      <c r="X127" s="227" t="s">
        <v>407</v>
      </c>
      <c r="Y127" s="227" t="s">
        <v>407</v>
      </c>
      <c r="Z127" s="227" t="s">
        <v>407</v>
      </c>
      <c r="AA127" s="227" t="s">
        <v>407</v>
      </c>
      <c r="AB127" s="227" t="s">
        <v>407</v>
      </c>
      <c r="AC127" s="227" t="s">
        <v>407</v>
      </c>
      <c r="AD127" s="227" t="s">
        <v>407</v>
      </c>
      <c r="AE127" s="227" t="s">
        <v>407</v>
      </c>
      <c r="AF127" s="227" t="s">
        <v>407</v>
      </c>
      <c r="AG127" s="227" t="s">
        <v>407</v>
      </c>
      <c r="AH127" s="227" t="s">
        <v>407</v>
      </c>
      <c r="AI127" s="227" t="s">
        <v>407</v>
      </c>
      <c r="AJ127" s="227" t="s">
        <v>407</v>
      </c>
      <c r="AK127" s="227" t="s">
        <v>407</v>
      </c>
      <c r="AL127" s="227" t="s">
        <v>407</v>
      </c>
      <c r="AM127" s="227" t="s">
        <v>407</v>
      </c>
      <c r="AN127" s="227" t="s">
        <v>407</v>
      </c>
      <c r="AO127" s="227" t="s">
        <v>407</v>
      </c>
    </row>
    <row r="128" spans="1:47">
      <c r="A128" s="36" t="s">
        <v>283</v>
      </c>
      <c r="B128" s="36" t="s">
        <v>585</v>
      </c>
      <c r="C128" s="227" t="s">
        <v>407</v>
      </c>
      <c r="D128" s="227" t="s">
        <v>407</v>
      </c>
      <c r="E128" s="227" t="s">
        <v>407</v>
      </c>
      <c r="F128" s="227" t="s">
        <v>407</v>
      </c>
      <c r="G128" s="227" t="s">
        <v>407</v>
      </c>
      <c r="H128" s="227" t="s">
        <v>407</v>
      </c>
      <c r="I128" s="227" t="s">
        <v>407</v>
      </c>
      <c r="J128" s="227" t="s">
        <v>407</v>
      </c>
      <c r="K128" s="227" t="s">
        <v>407</v>
      </c>
      <c r="L128" s="227" t="s">
        <v>407</v>
      </c>
      <c r="M128" s="227" t="s">
        <v>407</v>
      </c>
      <c r="N128" s="227" t="s">
        <v>407</v>
      </c>
      <c r="O128" s="227" t="s">
        <v>407</v>
      </c>
      <c r="P128" s="227" t="s">
        <v>407</v>
      </c>
      <c r="Q128" s="227" t="s">
        <v>407</v>
      </c>
      <c r="R128" s="227" t="s">
        <v>407</v>
      </c>
      <c r="S128" s="227" t="s">
        <v>407</v>
      </c>
      <c r="T128" s="227" t="s">
        <v>407</v>
      </c>
      <c r="U128" s="227" t="s">
        <v>407</v>
      </c>
      <c r="V128" s="227" t="s">
        <v>407</v>
      </c>
      <c r="W128" s="227" t="s">
        <v>407</v>
      </c>
      <c r="X128" s="227" t="s">
        <v>407</v>
      </c>
      <c r="Y128" s="227" t="s">
        <v>407</v>
      </c>
      <c r="Z128" s="227" t="s">
        <v>407</v>
      </c>
      <c r="AA128" s="227" t="s">
        <v>407</v>
      </c>
      <c r="AB128" s="227" t="s">
        <v>407</v>
      </c>
      <c r="AC128" s="227" t="s">
        <v>407</v>
      </c>
      <c r="AD128" s="227" t="s">
        <v>407</v>
      </c>
      <c r="AE128" s="227" t="s">
        <v>407</v>
      </c>
      <c r="AF128" s="227" t="s">
        <v>407</v>
      </c>
      <c r="AG128" s="227" t="s">
        <v>407</v>
      </c>
      <c r="AH128" s="227" t="s">
        <v>407</v>
      </c>
      <c r="AI128" s="227" t="s">
        <v>407</v>
      </c>
      <c r="AJ128" s="227" t="s">
        <v>407</v>
      </c>
      <c r="AK128" s="227" t="s">
        <v>407</v>
      </c>
      <c r="AL128" s="227" t="s">
        <v>407</v>
      </c>
      <c r="AM128" s="227" t="s">
        <v>407</v>
      </c>
      <c r="AN128" s="227" t="s">
        <v>407</v>
      </c>
      <c r="AO128" s="227" t="s">
        <v>407</v>
      </c>
    </row>
    <row r="129" spans="1:41">
      <c r="A129" s="36" t="s">
        <v>283</v>
      </c>
      <c r="B129" s="36" t="s">
        <v>586</v>
      </c>
      <c r="C129" s="227" t="s">
        <v>407</v>
      </c>
      <c r="D129" s="227" t="s">
        <v>407</v>
      </c>
      <c r="E129" s="227" t="s">
        <v>407</v>
      </c>
      <c r="F129" s="227" t="s">
        <v>407</v>
      </c>
      <c r="G129" s="227" t="s">
        <v>407</v>
      </c>
      <c r="H129" s="227" t="s">
        <v>407</v>
      </c>
      <c r="I129" s="227" t="s">
        <v>407</v>
      </c>
      <c r="J129" s="227" t="s">
        <v>407</v>
      </c>
      <c r="K129" s="227" t="s">
        <v>407</v>
      </c>
      <c r="L129" s="227" t="s">
        <v>407</v>
      </c>
      <c r="M129" s="227" t="s">
        <v>407</v>
      </c>
      <c r="N129" s="227" t="s">
        <v>407</v>
      </c>
      <c r="O129" s="227" t="s">
        <v>407</v>
      </c>
      <c r="P129" s="227" t="s">
        <v>407</v>
      </c>
      <c r="Q129" s="227" t="s">
        <v>407</v>
      </c>
      <c r="R129" s="227" t="s">
        <v>407</v>
      </c>
      <c r="S129" s="227" t="s">
        <v>407</v>
      </c>
      <c r="T129" s="227" t="s">
        <v>407</v>
      </c>
      <c r="U129" s="227" t="s">
        <v>407</v>
      </c>
      <c r="V129" s="227" t="s">
        <v>407</v>
      </c>
      <c r="W129" s="227" t="s">
        <v>407</v>
      </c>
      <c r="X129" s="227" t="s">
        <v>407</v>
      </c>
      <c r="Y129" s="227" t="s">
        <v>407</v>
      </c>
      <c r="Z129" s="227" t="s">
        <v>407</v>
      </c>
      <c r="AA129" s="227" t="s">
        <v>407</v>
      </c>
      <c r="AB129" s="227" t="s">
        <v>407</v>
      </c>
      <c r="AC129" s="227" t="s">
        <v>407</v>
      </c>
      <c r="AD129" s="227" t="s">
        <v>407</v>
      </c>
      <c r="AE129" s="227" t="s">
        <v>407</v>
      </c>
      <c r="AF129" s="227" t="s">
        <v>407</v>
      </c>
      <c r="AG129" s="227" t="s">
        <v>407</v>
      </c>
      <c r="AH129" s="227" t="s">
        <v>407</v>
      </c>
      <c r="AI129" s="227" t="s">
        <v>407</v>
      </c>
      <c r="AJ129" s="227" t="s">
        <v>407</v>
      </c>
      <c r="AK129" s="227" t="s">
        <v>407</v>
      </c>
      <c r="AL129" s="227" t="s">
        <v>407</v>
      </c>
      <c r="AM129" s="227" t="s">
        <v>407</v>
      </c>
      <c r="AN129" s="227" t="s">
        <v>407</v>
      </c>
      <c r="AO129" s="227" t="s">
        <v>407</v>
      </c>
    </row>
    <row r="130" spans="1:41">
      <c r="A130" s="36" t="s">
        <v>283</v>
      </c>
      <c r="B130" s="36" t="s">
        <v>587</v>
      </c>
      <c r="C130" s="227" t="s">
        <v>407</v>
      </c>
      <c r="D130" s="227" t="s">
        <v>407</v>
      </c>
      <c r="E130" s="227" t="s">
        <v>407</v>
      </c>
      <c r="F130" s="227" t="s">
        <v>407</v>
      </c>
      <c r="G130" s="227" t="s">
        <v>407</v>
      </c>
      <c r="H130" s="227" t="s">
        <v>407</v>
      </c>
      <c r="I130" s="227" t="s">
        <v>407</v>
      </c>
      <c r="J130" s="227" t="s">
        <v>407</v>
      </c>
      <c r="K130" s="227" t="s">
        <v>407</v>
      </c>
      <c r="L130" s="227" t="s">
        <v>407</v>
      </c>
      <c r="M130" s="227" t="s">
        <v>407</v>
      </c>
      <c r="N130" s="227" t="s">
        <v>407</v>
      </c>
      <c r="O130" s="227" t="s">
        <v>407</v>
      </c>
      <c r="P130" s="227" t="s">
        <v>407</v>
      </c>
      <c r="Q130" s="227" t="s">
        <v>407</v>
      </c>
      <c r="R130" s="227" t="s">
        <v>407</v>
      </c>
      <c r="S130" s="227" t="s">
        <v>407</v>
      </c>
      <c r="T130" s="227" t="s">
        <v>407</v>
      </c>
      <c r="U130" s="227" t="s">
        <v>407</v>
      </c>
      <c r="V130" s="227" t="s">
        <v>407</v>
      </c>
    </row>
    <row r="131" spans="1:41">
      <c r="A131" s="36" t="s">
        <v>284</v>
      </c>
      <c r="B131" s="36" t="s">
        <v>587</v>
      </c>
      <c r="W131" s="227" t="s">
        <v>407</v>
      </c>
      <c r="X131" s="227" t="s">
        <v>407</v>
      </c>
      <c r="Y131" s="227" t="s">
        <v>407</v>
      </c>
      <c r="Z131" s="227" t="s">
        <v>407</v>
      </c>
      <c r="AA131" s="227" t="s">
        <v>407</v>
      </c>
      <c r="AB131" s="227" t="s">
        <v>407</v>
      </c>
      <c r="AC131" s="227" t="s">
        <v>407</v>
      </c>
      <c r="AD131" s="227" t="s">
        <v>407</v>
      </c>
      <c r="AE131" s="227" t="s">
        <v>407</v>
      </c>
      <c r="AF131" s="227" t="s">
        <v>407</v>
      </c>
      <c r="AG131" s="227" t="s">
        <v>407</v>
      </c>
      <c r="AH131" s="227" t="s">
        <v>407</v>
      </c>
      <c r="AI131" s="227" t="s">
        <v>407</v>
      </c>
      <c r="AJ131" s="227" t="s">
        <v>407</v>
      </c>
      <c r="AK131" s="227" t="s">
        <v>407</v>
      </c>
      <c r="AL131" s="227" t="s">
        <v>407</v>
      </c>
      <c r="AM131" s="227" t="s">
        <v>407</v>
      </c>
      <c r="AN131" s="227" t="s">
        <v>407</v>
      </c>
      <c r="AO131" s="227" t="s">
        <v>407</v>
      </c>
    </row>
    <row r="132" spans="1:41">
      <c r="A132" s="36" t="s">
        <v>284</v>
      </c>
      <c r="B132" s="36" t="s">
        <v>588</v>
      </c>
      <c r="C132" s="227" t="s">
        <v>407</v>
      </c>
      <c r="D132" s="227" t="s">
        <v>407</v>
      </c>
      <c r="E132" s="227" t="s">
        <v>407</v>
      </c>
      <c r="F132" s="227" t="s">
        <v>407</v>
      </c>
      <c r="G132" s="227" t="s">
        <v>407</v>
      </c>
      <c r="H132" s="227" t="s">
        <v>407</v>
      </c>
      <c r="I132" s="227" t="s">
        <v>407</v>
      </c>
      <c r="J132" s="227" t="s">
        <v>407</v>
      </c>
      <c r="K132" s="227" t="s">
        <v>407</v>
      </c>
      <c r="L132" s="227" t="s">
        <v>407</v>
      </c>
      <c r="M132" s="227" t="s">
        <v>407</v>
      </c>
      <c r="N132" s="227" t="s">
        <v>407</v>
      </c>
      <c r="O132" s="227" t="s">
        <v>407</v>
      </c>
      <c r="P132" s="227" t="s">
        <v>407</v>
      </c>
      <c r="Q132" s="227" t="s">
        <v>407</v>
      </c>
      <c r="R132" s="227" t="s">
        <v>407</v>
      </c>
      <c r="S132" s="227" t="s">
        <v>407</v>
      </c>
      <c r="T132" s="227" t="s">
        <v>407</v>
      </c>
      <c r="U132" s="227" t="s">
        <v>407</v>
      </c>
      <c r="V132" s="227" t="s">
        <v>407</v>
      </c>
      <c r="W132" s="227" t="s">
        <v>407</v>
      </c>
      <c r="X132" s="227" t="s">
        <v>407</v>
      </c>
      <c r="Y132" s="227" t="s">
        <v>407</v>
      </c>
      <c r="Z132" s="227" t="s">
        <v>407</v>
      </c>
      <c r="AA132" s="227" t="s">
        <v>407</v>
      </c>
      <c r="AB132" s="227" t="s">
        <v>407</v>
      </c>
      <c r="AC132" s="227" t="s">
        <v>407</v>
      </c>
      <c r="AD132" s="227" t="s">
        <v>407</v>
      </c>
      <c r="AE132" s="227" t="s">
        <v>407</v>
      </c>
      <c r="AF132" s="227" t="s">
        <v>407</v>
      </c>
      <c r="AG132" s="227" t="s">
        <v>407</v>
      </c>
      <c r="AH132" s="227" t="s">
        <v>407</v>
      </c>
      <c r="AI132" s="227" t="s">
        <v>407</v>
      </c>
      <c r="AJ132" s="227" t="s">
        <v>407</v>
      </c>
      <c r="AK132" s="227" t="s">
        <v>407</v>
      </c>
      <c r="AL132" s="227" t="s">
        <v>407</v>
      </c>
      <c r="AM132" s="227" t="s">
        <v>407</v>
      </c>
      <c r="AN132" s="227" t="s">
        <v>407</v>
      </c>
      <c r="AO132" s="227" t="s">
        <v>407</v>
      </c>
    </row>
    <row r="133" spans="1:41">
      <c r="A133" s="36" t="s">
        <v>284</v>
      </c>
      <c r="B133" s="36" t="s">
        <v>670</v>
      </c>
      <c r="C133" s="227" t="s">
        <v>407</v>
      </c>
      <c r="D133" s="227" t="s">
        <v>407</v>
      </c>
      <c r="E133" s="227" t="s">
        <v>407</v>
      </c>
      <c r="F133" s="227" t="s">
        <v>407</v>
      </c>
      <c r="G133" s="227" t="s">
        <v>407</v>
      </c>
      <c r="H133" s="227" t="s">
        <v>407</v>
      </c>
      <c r="I133" s="227" t="s">
        <v>407</v>
      </c>
      <c r="J133" s="227" t="s">
        <v>407</v>
      </c>
      <c r="K133" s="227" t="s">
        <v>407</v>
      </c>
      <c r="L133" s="227" t="s">
        <v>407</v>
      </c>
      <c r="M133" s="227" t="s">
        <v>407</v>
      </c>
      <c r="N133" s="227" t="s">
        <v>407</v>
      </c>
      <c r="O133" s="227" t="s">
        <v>407</v>
      </c>
      <c r="P133" s="227" t="s">
        <v>407</v>
      </c>
      <c r="Q133" s="227" t="s">
        <v>407</v>
      </c>
      <c r="R133" s="227" t="s">
        <v>407</v>
      </c>
      <c r="S133" s="227" t="s">
        <v>407</v>
      </c>
      <c r="T133" s="227" t="s">
        <v>407</v>
      </c>
      <c r="U133" s="227" t="s">
        <v>407</v>
      </c>
      <c r="V133" s="227" t="s">
        <v>407</v>
      </c>
      <c r="W133" s="227" t="s">
        <v>407</v>
      </c>
      <c r="X133" s="227" t="s">
        <v>407</v>
      </c>
      <c r="Y133" s="227" t="s">
        <v>407</v>
      </c>
      <c r="Z133" s="227" t="s">
        <v>407</v>
      </c>
      <c r="AA133" s="227" t="s">
        <v>407</v>
      </c>
      <c r="AB133" s="227" t="s">
        <v>407</v>
      </c>
      <c r="AC133" s="227" t="s">
        <v>407</v>
      </c>
      <c r="AD133" s="227" t="s">
        <v>407</v>
      </c>
      <c r="AE133" s="227" t="s">
        <v>407</v>
      </c>
      <c r="AF133" s="227" t="s">
        <v>407</v>
      </c>
      <c r="AG133" s="227" t="s">
        <v>407</v>
      </c>
      <c r="AH133" s="227" t="s">
        <v>407</v>
      </c>
      <c r="AI133" s="227" t="s">
        <v>407</v>
      </c>
      <c r="AJ133" s="227" t="s">
        <v>407</v>
      </c>
      <c r="AK133" s="227" t="s">
        <v>407</v>
      </c>
      <c r="AL133" s="227" t="s">
        <v>407</v>
      </c>
      <c r="AM133" s="227" t="s">
        <v>407</v>
      </c>
      <c r="AN133" s="227" t="s">
        <v>407</v>
      </c>
      <c r="AO133" s="227" t="s">
        <v>407</v>
      </c>
    </row>
    <row r="134" spans="1:41">
      <c r="A134" s="36"/>
      <c r="B134" s="36"/>
    </row>
    <row r="135" spans="1:41">
      <c r="A135" s="36"/>
      <c r="B135" s="36"/>
    </row>
    <row r="136" spans="1:41">
      <c r="A136" s="36"/>
      <c r="B136" s="36"/>
    </row>
    <row r="137" spans="1:41">
      <c r="A137" s="36"/>
      <c r="B137" s="36"/>
    </row>
    <row r="138" spans="1:41">
      <c r="A138" s="36"/>
      <c r="B138" s="36"/>
    </row>
    <row r="139" spans="1:41">
      <c r="A139" s="36"/>
      <c r="B139" s="36"/>
    </row>
    <row r="140" spans="1:41">
      <c r="A140" s="36"/>
      <c r="B140" s="36"/>
    </row>
    <row r="141" spans="1:41">
      <c r="A141" s="36"/>
      <c r="B141" s="36"/>
    </row>
    <row r="142" spans="1:41">
      <c r="A142" s="36"/>
      <c r="B142" s="36"/>
    </row>
    <row r="143" spans="1:41">
      <c r="A143" s="36"/>
      <c r="B143" s="36"/>
    </row>
    <row r="144" spans="1:41">
      <c r="A144" s="36"/>
      <c r="B144" s="36"/>
    </row>
    <row r="145" spans="1:15">
      <c r="A145" s="36"/>
      <c r="B145" s="36"/>
    </row>
    <row r="146" spans="1:15">
      <c r="A146" s="36"/>
      <c r="B146" s="36"/>
    </row>
    <row r="147" spans="1:15">
      <c r="A147" s="36"/>
      <c r="B147" s="36"/>
    </row>
    <row r="148" spans="1:15">
      <c r="A148" s="36"/>
      <c r="B148" s="36"/>
    </row>
    <row r="149" spans="1:15">
      <c r="A149" s="36"/>
      <c r="B149" s="36"/>
    </row>
    <row r="150" spans="1:15">
      <c r="A150" s="36"/>
      <c r="B150" s="36"/>
      <c r="C150" s="239"/>
      <c r="D150" s="240"/>
      <c r="E150" s="240"/>
      <c r="F150" s="240"/>
      <c r="G150" s="240"/>
      <c r="H150" s="240"/>
      <c r="I150" s="240"/>
      <c r="J150" s="240"/>
      <c r="K150" s="240"/>
      <c r="L150" s="36"/>
      <c r="M150" s="240"/>
      <c r="N150" s="221"/>
      <c r="O150" s="221"/>
    </row>
    <row r="151" spans="1:15">
      <c r="A151" s="36"/>
      <c r="B151" s="36"/>
    </row>
    <row r="152" spans="1:15">
      <c r="A152" s="36"/>
      <c r="B152" s="36"/>
    </row>
    <row r="153" spans="1:15">
      <c r="A153" s="36"/>
      <c r="B153" s="36"/>
    </row>
    <row r="180" spans="1:13">
      <c r="A180" s="36" t="s">
        <v>1</v>
      </c>
      <c r="B180" s="36" t="s">
        <v>467</v>
      </c>
      <c r="C180" s="36" t="s">
        <v>468</v>
      </c>
      <c r="D180" s="36" t="s">
        <v>469</v>
      </c>
      <c r="E180" s="36" t="s">
        <v>470</v>
      </c>
      <c r="F180" s="36" t="s">
        <v>471</v>
      </c>
      <c r="G180" s="36" t="s">
        <v>600</v>
      </c>
      <c r="H180" s="36" t="s">
        <v>601</v>
      </c>
      <c r="I180" s="36" t="s">
        <v>602</v>
      </c>
      <c r="J180" s="36" t="s">
        <v>0</v>
      </c>
      <c r="K180" s="36" t="s">
        <v>141</v>
      </c>
      <c r="L180" s="36" t="s">
        <v>603</v>
      </c>
      <c r="M180" s="36" t="s">
        <v>604</v>
      </c>
    </row>
    <row r="181" spans="1:13">
      <c r="A181" s="227">
        <v>-1</v>
      </c>
      <c r="B181" s="227">
        <v>-1</v>
      </c>
      <c r="C181" s="227">
        <v>-1</v>
      </c>
      <c r="D181" s="227">
        <v>-1</v>
      </c>
      <c r="E181" s="227">
        <v>-1</v>
      </c>
      <c r="F181" s="227">
        <v>-1</v>
      </c>
      <c r="G181" s="227">
        <v>-1</v>
      </c>
      <c r="H181" s="227">
        <v>-1</v>
      </c>
      <c r="I181" s="227">
        <v>-1</v>
      </c>
      <c r="J181" s="227">
        <v>-1</v>
      </c>
      <c r="K181" s="227">
        <v>-1</v>
      </c>
      <c r="L181" s="227">
        <v>-1</v>
      </c>
      <c r="M181" s="227">
        <v>-1</v>
      </c>
    </row>
  </sheetData>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4:AO110"/>
  <sheetViews>
    <sheetView topLeftCell="A67" workbookViewId="0">
      <selection activeCell="F44" sqref="F44"/>
    </sheetView>
  </sheetViews>
  <sheetFormatPr defaultColWidth="8.88671875" defaultRowHeight="14.4"/>
  <cols>
    <col min="1" max="1" width="13.44140625" customWidth="1"/>
    <col min="3" max="3" width="13.44140625" bestFit="1" customWidth="1"/>
    <col min="4" max="11" width="10.44140625" bestFit="1" customWidth="1"/>
  </cols>
  <sheetData>
    <row r="4" spans="1:28">
      <c r="A4" t="s">
        <v>417</v>
      </c>
      <c r="B4" s="36" t="s">
        <v>618</v>
      </c>
      <c r="C4" s="36" t="s">
        <v>619</v>
      </c>
      <c r="D4" s="36" t="s">
        <v>620</v>
      </c>
      <c r="E4" s="36" t="s">
        <v>621</v>
      </c>
      <c r="F4" s="36" t="s">
        <v>622</v>
      </c>
      <c r="G4" s="36" t="s">
        <v>623</v>
      </c>
      <c r="H4" s="36" t="s">
        <v>624</v>
      </c>
      <c r="I4" s="36" t="s">
        <v>625</v>
      </c>
      <c r="J4" s="36" t="s">
        <v>626</v>
      </c>
      <c r="K4" s="4"/>
    </row>
    <row r="5" spans="1:28">
      <c r="B5" s="36">
        <v>2012</v>
      </c>
      <c r="C5" s="36">
        <v>2015</v>
      </c>
      <c r="D5" s="36">
        <v>2020</v>
      </c>
      <c r="E5" s="36">
        <v>2025</v>
      </c>
      <c r="F5" s="36">
        <v>2030</v>
      </c>
      <c r="G5" s="36">
        <v>2035</v>
      </c>
      <c r="H5" s="36">
        <v>2040</v>
      </c>
      <c r="I5" s="36">
        <v>2045</v>
      </c>
      <c r="J5" s="36">
        <v>2050</v>
      </c>
      <c r="K5" s="36">
        <v>2055</v>
      </c>
      <c r="S5">
        <f>B5</f>
        <v>2012</v>
      </c>
      <c r="T5" s="4">
        <f t="shared" ref="T5:AB5" si="0">C5</f>
        <v>2015</v>
      </c>
      <c r="U5" s="4">
        <f t="shared" si="0"/>
        <v>2020</v>
      </c>
      <c r="V5" s="4">
        <f t="shared" si="0"/>
        <v>2025</v>
      </c>
      <c r="W5" s="4">
        <f t="shared" si="0"/>
        <v>2030</v>
      </c>
      <c r="X5" s="4">
        <f t="shared" si="0"/>
        <v>2035</v>
      </c>
      <c r="Y5" s="4">
        <f t="shared" si="0"/>
        <v>2040</v>
      </c>
      <c r="Z5" s="4">
        <f t="shared" si="0"/>
        <v>2045</v>
      </c>
      <c r="AA5" s="4">
        <f t="shared" si="0"/>
        <v>2050</v>
      </c>
      <c r="AB5" s="4">
        <f t="shared" si="0"/>
        <v>2055</v>
      </c>
    </row>
    <row r="6" spans="1:28">
      <c r="A6" s="4" t="str">
        <f>MCDrivers!A6</f>
        <v>COM</v>
      </c>
      <c r="B6">
        <f>MCDrivers!B6</f>
        <v>0.26490301139712186</v>
      </c>
      <c r="C6" s="4">
        <f>INDEX(MCDrivers!$C6:$AQ6,1,MATCH(MCEcon!C$4,MCDrivers!$C$5:$AQ$5,0))</f>
        <v>0.28253013171305114</v>
      </c>
      <c r="D6" s="227">
        <f>INDEX(MCDrivers!$C6:$AQ6,1,MATCH(MCEcon!D$4,MCDrivers!$C$5:$AQ$5,0))</f>
        <v>0.30005171895446547</v>
      </c>
      <c r="E6" s="227">
        <f>INDEX(MCDrivers!$C6:$AQ6,1,MATCH(MCEcon!E$4,MCDrivers!$C$5:$AQ$5,0))</f>
        <v>0.32393269539577119</v>
      </c>
      <c r="F6" s="227">
        <f>IFERROR(INDEX(MCDrivers!$C6:$AQ6,1,MATCH(MCEcon!F$4,MCDrivers!$C$5:$AQ$5,0)),FORECAST(F$5,D6:E6,D$5:E$5))</f>
        <v>0.3563643379610128</v>
      </c>
      <c r="G6" s="227">
        <f>IFERROR(INDEX(MCDrivers!$C6:$AQ6,1,MATCH(MCEcon!G$4,MCDrivers!$C$5:$AQ$5,0)),FORECAST(G$5,E6:F6,E$5:F$5))</f>
        <v>0.39364001772168666</v>
      </c>
      <c r="H6" s="227">
        <f>IFERROR(INDEX(MCDrivers!$C6:$AQ6,1,MATCH(MCEcon!H$4,MCDrivers!$C$5:$AQ$5,0)),FORECAST(H$5,F6:G6,F$5:G$5))</f>
        <v>0.43600987273101027</v>
      </c>
      <c r="I6" s="227">
        <f>IFERROR(INDEX(MCDrivers!$C6:$AQ6,1,MATCH(MCEcon!I$4,MCDrivers!$C$5:$AQ$5,0)),FORECAST(I$5,G6:H6,G$5:H$5))</f>
        <v>0.47987323347399008</v>
      </c>
      <c r="J6" s="227">
        <f>IFERROR(INDEX(MCDrivers!$C6:$AQ6,1,MATCH(MCEcon!J$4,MCDrivers!$C$5:$AQ$5,0)),FORECAST(J$5,H6:I6,H$5:I$5))</f>
        <v>0.52412094262873499</v>
      </c>
      <c r="K6" s="227">
        <f>IFERROR(INDEX(MCDrivers!$C6:$AQ6,1,MATCH(MCEcon!K$4,MCDrivers!$C$5:$AQ$5,0)),FORECAST(K$5,I6:J6,I$5:J$5))</f>
        <v>0.56836865178347651</v>
      </c>
      <c r="O6" s="4">
        <f t="shared" ref="O6:O21" si="1">(K6/C6)^(1/(K$5-C$5))-1</f>
        <v>1.7628200453701171E-2</v>
      </c>
      <c r="R6" t="s">
        <v>467</v>
      </c>
      <c r="S6" s="6">
        <f t="shared" ref="S6:S21" si="2">B6</f>
        <v>0.26490301139712186</v>
      </c>
      <c r="T6" s="6">
        <f t="shared" ref="T6:T21" si="3">C6</f>
        <v>0.28253013171305114</v>
      </c>
      <c r="U6" s="6">
        <f t="shared" ref="U6:U21" si="4">D6</f>
        <v>0.30005171895446547</v>
      </c>
      <c r="V6" s="6">
        <f t="shared" ref="V6:V21" si="5">E6</f>
        <v>0.32393269539577119</v>
      </c>
      <c r="W6" s="6">
        <f t="shared" ref="W6:W21" si="6">F6</f>
        <v>0.3563643379610128</v>
      </c>
      <c r="X6" s="6">
        <f t="shared" ref="X6:X21" si="7">G6</f>
        <v>0.39364001772168666</v>
      </c>
      <c r="Y6" s="6">
        <f t="shared" ref="Y6:Y21" si="8">H6</f>
        <v>0.43600987273101027</v>
      </c>
      <c r="Z6" s="6">
        <f t="shared" ref="Z6:Z21" si="9">I6</f>
        <v>0.47987323347399008</v>
      </c>
      <c r="AA6" s="6">
        <f t="shared" ref="AA6:AA21" si="10">J6</f>
        <v>0.52412094262873499</v>
      </c>
      <c r="AB6" s="6">
        <f t="shared" ref="AB6:AB21" si="11">K6</f>
        <v>0.56836865178347651</v>
      </c>
    </row>
    <row r="7" spans="1:28">
      <c r="A7" s="4" t="str">
        <f>MCDrivers!A7</f>
        <v>AGR</v>
      </c>
      <c r="B7" s="4">
        <f>MCDrivers!B7</f>
        <v>1.2205117273302883E-2</v>
      </c>
      <c r="C7" s="227">
        <f>INDEX(MCDrivers!$C7:$AQ7,1,MATCH(MCEcon!C$4,MCDrivers!$C$5:$AQ$5,0))</f>
        <v>1.3296316818911229E-2</v>
      </c>
      <c r="D7" s="227">
        <f>INDEX(MCDrivers!$C7:$AQ7,1,MATCH(MCEcon!D$4,MCDrivers!$C$5:$AQ$5,0))</f>
        <v>1.3682081805463944E-2</v>
      </c>
      <c r="E7" s="227">
        <f>INDEX(MCDrivers!$C7:$AQ7,1,MATCH(MCEcon!E$4,MCDrivers!$C$5:$AQ$5,0))</f>
        <v>1.495855348728053E-2</v>
      </c>
      <c r="F7" s="227">
        <f>IFERROR(INDEX(MCDrivers!$C7:$AQ7,1,MATCH(MCEcon!F$4,MCDrivers!$C$5:$AQ$5,0)),FORECAST(F$5,D7:E7,D$5:E$5))</f>
        <v>1.6647018102982001E-2</v>
      </c>
      <c r="G7" s="227">
        <f>IFERROR(INDEX(MCDrivers!$C7:$AQ7,1,MATCH(MCEcon!G$4,MCDrivers!$C$5:$AQ$5,0)),FORECAST(G$5,E7:F7,E$5:F$5))</f>
        <v>1.8015046667696547E-2</v>
      </c>
      <c r="H7" s="227">
        <f>IFERROR(INDEX(MCDrivers!$C7:$AQ7,1,MATCH(MCEcon!H$4,MCDrivers!$C$5:$AQ$5,0)),FORECAST(H$5,F7:G7,F$5:G$5))</f>
        <v>1.9646367621826522E-2</v>
      </c>
      <c r="I7" s="227">
        <f>IFERROR(INDEX(MCDrivers!$C7:$AQ7,1,MATCH(MCEcon!I$4,MCDrivers!$C$5:$AQ$5,0)),FORECAST(I$5,G7:H7,G$5:H$5))</f>
        <v>2.1134076660880814E-2</v>
      </c>
      <c r="J7" s="227">
        <f>IFERROR(INDEX(MCDrivers!$C7:$AQ7,1,MATCH(MCEcon!J$4,MCDrivers!$C$5:$AQ$5,0)),FORECAST(J$5,H7:I7,H$5:I$5))</f>
        <v>2.2743958258456747E-2</v>
      </c>
      <c r="K7" s="227">
        <f>IFERROR(INDEX(MCDrivers!$C7:$AQ7,1,MATCH(MCEcon!K$4,MCDrivers!$C$5:$AQ$5,0)),FORECAST(K$5,I7:J7,I$5:J$5))</f>
        <v>2.4353839856032677E-2</v>
      </c>
      <c r="O7">
        <f t="shared" si="1"/>
        <v>1.5245100467403461E-2</v>
      </c>
      <c r="R7" t="s">
        <v>1</v>
      </c>
      <c r="S7" s="6">
        <f t="shared" si="2"/>
        <v>1.2205117273302883E-2</v>
      </c>
      <c r="T7" s="6">
        <f t="shared" si="3"/>
        <v>1.3296316818911229E-2</v>
      </c>
      <c r="U7" s="6">
        <f t="shared" si="4"/>
        <v>1.3682081805463944E-2</v>
      </c>
      <c r="V7" s="6">
        <f t="shared" si="5"/>
        <v>1.495855348728053E-2</v>
      </c>
      <c r="W7" s="6">
        <f t="shared" si="6"/>
        <v>1.6647018102982001E-2</v>
      </c>
      <c r="X7" s="6">
        <f t="shared" si="7"/>
        <v>1.8015046667696547E-2</v>
      </c>
      <c r="Y7" s="6">
        <f t="shared" si="8"/>
        <v>1.9646367621826522E-2</v>
      </c>
      <c r="Z7" s="6">
        <f t="shared" si="9"/>
        <v>2.1134076660880814E-2</v>
      </c>
      <c r="AA7" s="6">
        <f t="shared" si="10"/>
        <v>2.2743958258456747E-2</v>
      </c>
      <c r="AB7" s="6">
        <f t="shared" si="11"/>
        <v>2.4353839856032677E-2</v>
      </c>
    </row>
    <row r="8" spans="1:28">
      <c r="A8" s="4" t="str">
        <f>MCDrivers!A8</f>
        <v>mi</v>
      </c>
      <c r="B8" s="4">
        <f>MCDrivers!B8</f>
        <v>3.0070957798834522E-2</v>
      </c>
      <c r="C8" s="227">
        <f>INDEX(MCDrivers!$C8:$AQ8,1,MATCH(MCEcon!C$4,MCDrivers!$C$5:$AQ$5,0))</f>
        <v>3.1243570884306543E-2</v>
      </c>
      <c r="D8" s="227">
        <f>INDEX(MCDrivers!$C8:$AQ8,1,MATCH(MCEcon!D$4,MCDrivers!$C$5:$AQ$5,0))</f>
        <v>3.1279969144855632E-2</v>
      </c>
      <c r="E8" s="227">
        <f>INDEX(MCDrivers!$C8:$AQ8,1,MATCH(MCEcon!E$4,MCDrivers!$C$5:$AQ$5,0))</f>
        <v>3.3065923689723394E-2</v>
      </c>
      <c r="F8" s="227">
        <f>IFERROR(INDEX(MCDrivers!$C8:$AQ8,1,MATCH(MCEcon!F$4,MCDrivers!$C$5:$AQ$5,0)),FORECAST(F$5,D8:E8,D$5:E$5))</f>
        <v>3.6353565403456183E-2</v>
      </c>
      <c r="G8" s="227">
        <f>IFERROR(INDEX(MCDrivers!$C8:$AQ8,1,MATCH(MCEcon!G$4,MCDrivers!$C$5:$AQ$5,0)),FORECAST(G$5,E8:F8,E$5:F$5))</f>
        <v>4.0095577980935493E-2</v>
      </c>
      <c r="H8" s="227">
        <f>IFERROR(INDEX(MCDrivers!$C8:$AQ8,1,MATCH(MCEcon!H$4,MCDrivers!$C$5:$AQ$5,0)),FORECAST(H$5,F8:G8,F$5:G$5))</f>
        <v>4.4572976407579859E-2</v>
      </c>
      <c r="I8" s="227">
        <f>IFERROR(INDEX(MCDrivers!$C8:$AQ8,1,MATCH(MCEcon!I$4,MCDrivers!$C$5:$AQ$5,0)),FORECAST(I$5,G8:H8,G$5:H$5))</f>
        <v>4.8664525304964311E-2</v>
      </c>
      <c r="J8" s="227">
        <f>IFERROR(INDEX(MCDrivers!$C8:$AQ8,1,MATCH(MCEcon!J$4,MCDrivers!$C$5:$AQ$5,0)),FORECAST(J$5,H8:I8,H$5:I$5))</f>
        <v>5.2591495766300678E-2</v>
      </c>
      <c r="K8" s="227">
        <f>IFERROR(INDEX(MCDrivers!$C8:$AQ8,1,MATCH(MCEcon!K$4,MCDrivers!$C$5:$AQ$5,0)),FORECAST(K$5,I8:J8,I$5:J$5))</f>
        <v>5.651846622763701E-2</v>
      </c>
      <c r="O8" s="4">
        <f t="shared" si="1"/>
        <v>1.4929188396195725E-2</v>
      </c>
      <c r="R8" t="s">
        <v>468</v>
      </c>
      <c r="S8" s="6">
        <f t="shared" si="2"/>
        <v>3.0070957798834522E-2</v>
      </c>
      <c r="T8" s="6">
        <f t="shared" si="3"/>
        <v>3.1243570884306543E-2</v>
      </c>
      <c r="U8" s="6">
        <f t="shared" si="4"/>
        <v>3.1279969144855632E-2</v>
      </c>
      <c r="V8" s="6">
        <f t="shared" si="5"/>
        <v>3.3065923689723394E-2</v>
      </c>
      <c r="W8" s="6">
        <f t="shared" si="6"/>
        <v>3.6353565403456183E-2</v>
      </c>
      <c r="X8" s="6">
        <f t="shared" si="7"/>
        <v>4.0095577980935493E-2</v>
      </c>
      <c r="Y8" s="6">
        <f t="shared" si="8"/>
        <v>4.4572976407579859E-2</v>
      </c>
      <c r="Z8" s="6">
        <f t="shared" si="9"/>
        <v>4.8664525304964311E-2</v>
      </c>
      <c r="AA8" s="6">
        <f t="shared" si="10"/>
        <v>5.2591495766300678E-2</v>
      </c>
      <c r="AB8" s="6">
        <f t="shared" si="11"/>
        <v>5.651846622763701E-2</v>
      </c>
    </row>
    <row r="9" spans="1:28">
      <c r="A9" s="4" t="str">
        <f>MCDrivers!A9</f>
        <v>fb</v>
      </c>
      <c r="B9" s="4">
        <f>MCDrivers!B9</f>
        <v>2.3649162688522865E-2</v>
      </c>
      <c r="C9" s="227">
        <f>INDEX(MCDrivers!$C9:$AQ9,1,MATCH(MCEcon!C$4,MCDrivers!$C$5:$AQ$5,0))</f>
        <v>2.5562051746611535E-2</v>
      </c>
      <c r="D9" s="227">
        <f>INDEX(MCDrivers!$C9:$AQ9,1,MATCH(MCEcon!D$4,MCDrivers!$C$5:$AQ$5,0))</f>
        <v>2.7079573138567424E-2</v>
      </c>
      <c r="E9" s="227">
        <f>INDEX(MCDrivers!$C9:$AQ9,1,MATCH(MCEcon!E$4,MCDrivers!$C$5:$AQ$5,0))</f>
        <v>2.9540310362742038E-2</v>
      </c>
      <c r="F9" s="227">
        <f>IFERROR(INDEX(MCDrivers!$C9:$AQ9,1,MATCH(MCEcon!F$4,MCDrivers!$C$5:$AQ$5,0)),FORECAST(F$5,D9:E9,D$5:E$5))</f>
        <v>3.2913690696315959E-2</v>
      </c>
      <c r="G9" s="227">
        <f>IFERROR(INDEX(MCDrivers!$C9:$AQ9,1,MATCH(MCEcon!G$4,MCDrivers!$C$5:$AQ$5,0)),FORECAST(G$5,E9:F9,E$5:F$5))</f>
        <v>3.5801772092815626E-2</v>
      </c>
      <c r="H9" s="227">
        <f>IFERROR(INDEX(MCDrivers!$C9:$AQ9,1,MATCH(MCEcon!H$4,MCDrivers!$C$5:$AQ$5,0)),FORECAST(H$5,F9:G9,F$5:G$5))</f>
        <v>3.9159068488196169E-2</v>
      </c>
      <c r="I9" s="227">
        <f>IFERROR(INDEX(MCDrivers!$C9:$AQ9,1,MATCH(MCEcon!I$4,MCDrivers!$C$5:$AQ$5,0)),FORECAST(I$5,G9:H9,G$5:H$5))</f>
        <v>4.2085583839286761E-2</v>
      </c>
      <c r="J9" s="227">
        <f>IFERROR(INDEX(MCDrivers!$C9:$AQ9,1,MATCH(MCEcon!J$4,MCDrivers!$C$5:$AQ$5,0)),FORECAST(J$5,H9:I9,H$5:I$5))</f>
        <v>4.520492772261063E-2</v>
      </c>
      <c r="K9" s="227">
        <f>IFERROR(INDEX(MCDrivers!$C9:$AQ9,1,MATCH(MCEcon!K$4,MCDrivers!$C$5:$AQ$5,0)),FORECAST(K$5,I9:J9,I$5:J$5))</f>
        <v>4.8324271605934666E-2</v>
      </c>
      <c r="O9" s="4">
        <f t="shared" si="1"/>
        <v>1.6048034766703134E-2</v>
      </c>
      <c r="R9" t="s">
        <v>469</v>
      </c>
      <c r="S9" s="6">
        <f t="shared" si="2"/>
        <v>2.3649162688522865E-2</v>
      </c>
      <c r="T9" s="6">
        <f t="shared" si="3"/>
        <v>2.5562051746611535E-2</v>
      </c>
      <c r="U9" s="6">
        <f t="shared" si="4"/>
        <v>2.7079573138567424E-2</v>
      </c>
      <c r="V9" s="6">
        <f t="shared" si="5"/>
        <v>2.9540310362742038E-2</v>
      </c>
      <c r="W9" s="6">
        <f t="shared" si="6"/>
        <v>3.2913690696315959E-2</v>
      </c>
      <c r="X9" s="6">
        <f t="shared" si="7"/>
        <v>3.5801772092815626E-2</v>
      </c>
      <c r="Y9" s="6">
        <f t="shared" si="8"/>
        <v>3.9159068488196169E-2</v>
      </c>
      <c r="Z9" s="6">
        <f t="shared" si="9"/>
        <v>4.2085583839286761E-2</v>
      </c>
      <c r="AA9" s="6">
        <f t="shared" si="10"/>
        <v>4.520492772261063E-2</v>
      </c>
      <c r="AB9" s="6">
        <f t="shared" si="11"/>
        <v>4.8324271605934666E-2</v>
      </c>
    </row>
    <row r="10" spans="1:28">
      <c r="A10" s="4" t="str">
        <f>MCDrivers!A10</f>
        <v>ot</v>
      </c>
      <c r="B10" s="4">
        <f>MCDrivers!B10</f>
        <v>7.334621058350009E-2</v>
      </c>
      <c r="C10" s="227">
        <f>INDEX(MCDrivers!$C10:$AQ10,1,MATCH(MCEcon!C$4,MCDrivers!$C$5:$AQ$5,0))</f>
        <v>7.6715351205356344E-2</v>
      </c>
      <c r="D10" s="227">
        <f>INDEX(MCDrivers!$C10:$AQ10,1,MATCH(MCEcon!D$4,MCDrivers!$C$5:$AQ$5,0))</f>
        <v>7.9389232466604828E-2</v>
      </c>
      <c r="E10" s="227">
        <f>INDEX(MCDrivers!$C10:$AQ10,1,MATCH(MCEcon!E$4,MCDrivers!$C$5:$AQ$5,0))</f>
        <v>8.7683987323239093E-2</v>
      </c>
      <c r="F10" s="227">
        <f>IFERROR(INDEX(MCDrivers!$C10:$AQ10,1,MATCH(MCEcon!F$4,MCDrivers!$C$5:$AQ$5,0)),FORECAST(F$5,D10:E10,D$5:E$5))</f>
        <v>9.9023141339306106E-2</v>
      </c>
      <c r="G10" s="227">
        <f>IFERROR(INDEX(MCDrivers!$C10:$AQ10,1,MATCH(MCEcon!G$4,MCDrivers!$C$5:$AQ$5,0)),FORECAST(G$5,E10:F10,E$5:F$5))</f>
        <v>0.11120686962998012</v>
      </c>
      <c r="H10" s="227">
        <f>IFERROR(INDEX(MCDrivers!$C10:$AQ10,1,MATCH(MCEcon!H$4,MCDrivers!$C$5:$AQ$5,0)),FORECAST(H$5,F10:G10,F$5:G$5))</f>
        <v>0.1250439550212108</v>
      </c>
      <c r="I10" s="227">
        <f>IFERROR(INDEX(MCDrivers!$C10:$AQ10,1,MATCH(MCEcon!I$4,MCDrivers!$C$5:$AQ$5,0)),FORECAST(I$5,G10:H10,G$5:H$5))</f>
        <v>0.13904673471519646</v>
      </c>
      <c r="J10" s="227">
        <f>IFERROR(INDEX(MCDrivers!$C10:$AQ10,1,MATCH(MCEcon!J$4,MCDrivers!$C$5:$AQ$5,0)),FORECAST(J$5,H10:I10,H$5:I$5))</f>
        <v>0.15377415548370874</v>
      </c>
      <c r="K10" s="227">
        <f>IFERROR(INDEX(MCDrivers!$C10:$AQ10,1,MATCH(MCEcon!K$4,MCDrivers!$C$5:$AQ$5,0)),FORECAST(K$5,I10:J10,I$5:J$5))</f>
        <v>0.16850157625222106</v>
      </c>
      <c r="O10" s="4">
        <f t="shared" si="1"/>
        <v>1.9865832365660641E-2</v>
      </c>
      <c r="R10" t="s">
        <v>0</v>
      </c>
      <c r="S10" s="6">
        <f t="shared" si="2"/>
        <v>7.334621058350009E-2</v>
      </c>
      <c r="T10" s="6">
        <f t="shared" si="3"/>
        <v>7.6715351205356344E-2</v>
      </c>
      <c r="U10" s="6">
        <f t="shared" si="4"/>
        <v>7.9389232466604828E-2</v>
      </c>
      <c r="V10" s="6">
        <f t="shared" si="5"/>
        <v>8.7683987323239093E-2</v>
      </c>
      <c r="W10" s="6">
        <f t="shared" si="6"/>
        <v>9.9023141339306106E-2</v>
      </c>
      <c r="X10" s="6">
        <f t="shared" si="7"/>
        <v>0.11120686962998012</v>
      </c>
      <c r="Y10" s="6">
        <f t="shared" si="8"/>
        <v>0.1250439550212108</v>
      </c>
      <c r="Z10" s="6">
        <f t="shared" si="9"/>
        <v>0.13904673471519646</v>
      </c>
      <c r="AA10" s="6">
        <f t="shared" si="10"/>
        <v>0.15377415548370874</v>
      </c>
      <c r="AB10" s="6">
        <f t="shared" si="11"/>
        <v>0.16850157625222106</v>
      </c>
    </row>
    <row r="11" spans="1:28">
      <c r="A11" s="4" t="str">
        <f>MCDrivers!A11</f>
        <v>pp</v>
      </c>
      <c r="B11" s="4">
        <f>MCDrivers!B11</f>
        <v>5.0815214594333641E-3</v>
      </c>
      <c r="C11" s="227">
        <f>INDEX(MCDrivers!$C11:$AQ11,1,MATCH(MCEcon!C$4,MCDrivers!$C$5:$AQ$5,0))</f>
        <v>5.4423035732898044E-3</v>
      </c>
      <c r="D11" s="227">
        <f>INDEX(MCDrivers!$C11:$AQ11,1,MATCH(MCEcon!D$4,MCDrivers!$C$5:$AQ$5,0))</f>
        <v>5.7364548081622075E-3</v>
      </c>
      <c r="E11" s="227">
        <f>INDEX(MCDrivers!$C11:$AQ11,1,MATCH(MCEcon!E$4,MCDrivers!$C$5:$AQ$5,0))</f>
        <v>6.3432588615682196E-3</v>
      </c>
      <c r="F11" s="227">
        <f>IFERROR(INDEX(MCDrivers!$C11:$AQ11,1,MATCH(MCEcon!F$4,MCDrivers!$C$5:$AQ$5,0)),FORECAST(F$5,D11:E11,D$5:E$5))</f>
        <v>7.1174848823553887E-3</v>
      </c>
      <c r="G11" s="227">
        <f>IFERROR(INDEX(MCDrivers!$C11:$AQ11,1,MATCH(MCEcon!G$4,MCDrivers!$C$5:$AQ$5,0)),FORECAST(G$5,E11:F11,E$5:F$5))</f>
        <v>7.8447561216490151E-3</v>
      </c>
      <c r="H11" s="227">
        <f>IFERROR(INDEX(MCDrivers!$C11:$AQ11,1,MATCH(MCEcon!H$4,MCDrivers!$C$5:$AQ$5,0)),FORECAST(H$5,F11:G11,F$5:G$5))</f>
        <v>8.7313761386453321E-3</v>
      </c>
      <c r="I11" s="227">
        <f>IFERROR(INDEX(MCDrivers!$C11:$AQ11,1,MATCH(MCEcon!I$4,MCDrivers!$C$5:$AQ$5,0)),FORECAST(I$5,G11:H11,G$5:H$5))</f>
        <v>9.5929617196507527E-3</v>
      </c>
      <c r="J11" s="227">
        <f>IFERROR(INDEX(MCDrivers!$C11:$AQ11,1,MATCH(MCEcon!J$4,MCDrivers!$C$5:$AQ$5,0)),FORECAST(J$5,H11:I11,H$5:I$5))</f>
        <v>1.0501756161938675E-2</v>
      </c>
      <c r="K11" s="227">
        <f>IFERROR(INDEX(MCDrivers!$C11:$AQ11,1,MATCH(MCEcon!K$4,MCDrivers!$C$5:$AQ$5,0)),FORECAST(K$5,I11:J11,I$5:J$5))</f>
        <v>1.1410550604226632E-2</v>
      </c>
      <c r="O11" s="4">
        <f t="shared" si="1"/>
        <v>1.8680741970013237E-2</v>
      </c>
      <c r="R11" t="s">
        <v>470</v>
      </c>
      <c r="S11" s="6">
        <f t="shared" si="2"/>
        <v>5.0815214594333641E-3</v>
      </c>
      <c r="T11" s="6">
        <f t="shared" si="3"/>
        <v>5.4423035732898044E-3</v>
      </c>
      <c r="U11" s="6">
        <f t="shared" si="4"/>
        <v>5.7364548081622075E-3</v>
      </c>
      <c r="V11" s="6">
        <f t="shared" si="5"/>
        <v>6.3432588615682196E-3</v>
      </c>
      <c r="W11" s="6">
        <f t="shared" si="6"/>
        <v>7.1174848823553887E-3</v>
      </c>
      <c r="X11" s="6">
        <f t="shared" si="7"/>
        <v>7.8447561216490151E-3</v>
      </c>
      <c r="Y11" s="6">
        <f t="shared" si="8"/>
        <v>8.7313761386453321E-3</v>
      </c>
      <c r="Z11" s="6">
        <f t="shared" si="9"/>
        <v>9.5929617196507527E-3</v>
      </c>
      <c r="AA11" s="6">
        <f t="shared" si="10"/>
        <v>1.0501756161938675E-2</v>
      </c>
      <c r="AB11" s="6">
        <f t="shared" si="11"/>
        <v>1.1410550604226632E-2</v>
      </c>
    </row>
    <row r="12" spans="1:28">
      <c r="A12" s="4" t="str">
        <f>MCDrivers!A12</f>
        <v>cp</v>
      </c>
      <c r="B12" s="4">
        <f>MCDrivers!B12</f>
        <v>1.989786536070515E-2</v>
      </c>
      <c r="C12" s="227">
        <f>INDEX(MCDrivers!$C12:$AQ12,1,MATCH(MCEcon!C$4,MCDrivers!$C$5:$AQ$5,0))</f>
        <v>2.1074010319206717E-2</v>
      </c>
      <c r="D12" s="227">
        <f>INDEX(MCDrivers!$C12:$AQ12,1,MATCH(MCEcon!D$4,MCDrivers!$C$5:$AQ$5,0))</f>
        <v>2.1465098293986566E-2</v>
      </c>
      <c r="E12" s="227">
        <f>INDEX(MCDrivers!$C12:$AQ12,1,MATCH(MCEcon!E$4,MCDrivers!$C$5:$AQ$5,0))</f>
        <v>2.3360722149995867E-2</v>
      </c>
      <c r="F12" s="227">
        <f>IFERROR(INDEX(MCDrivers!$C12:$AQ12,1,MATCH(MCEcon!F$4,MCDrivers!$C$5:$AQ$5,0)),FORECAST(F$5,D12:E12,D$5:E$5))</f>
        <v>2.6227807655052959E-2</v>
      </c>
      <c r="G12" s="227">
        <f>IFERROR(INDEX(MCDrivers!$C12:$AQ12,1,MATCH(MCEcon!G$4,MCDrivers!$C$5:$AQ$5,0)),FORECAST(G$5,E12:F12,E$5:F$5))</f>
        <v>2.9478324054790762E-2</v>
      </c>
      <c r="H12" s="227">
        <f>IFERROR(INDEX(MCDrivers!$C12:$AQ12,1,MATCH(MCEcon!H$4,MCDrivers!$C$5:$AQ$5,0)),FORECAST(H$5,F12:G12,F$5:G$5))</f>
        <v>3.3152389124754343E-2</v>
      </c>
      <c r="I12" s="227">
        <f>IFERROR(INDEX(MCDrivers!$C12:$AQ12,1,MATCH(MCEcon!I$4,MCDrivers!$C$5:$AQ$5,0)),FORECAST(I$5,G12:H12,G$5:H$5))</f>
        <v>3.6624309652768819E-2</v>
      </c>
      <c r="J12" s="227">
        <f>IFERROR(INDEX(MCDrivers!$C12:$AQ12,1,MATCH(MCEcon!J$4,MCDrivers!$C$5:$AQ$5,0)),FORECAST(J$5,H12:I12,H$5:I$5))</f>
        <v>4.0081265547416464E-2</v>
      </c>
      <c r="K12" s="227">
        <f>IFERROR(INDEX(MCDrivers!$C12:$AQ12,1,MATCH(MCEcon!K$4,MCDrivers!$C$5:$AQ$5,0)),FORECAST(K$5,I12:J12,I$5:J$5))</f>
        <v>4.3538221442064096E-2</v>
      </c>
      <c r="O12" s="4">
        <f t="shared" si="1"/>
        <v>1.8305495155786611E-2</v>
      </c>
      <c r="R12" t="s">
        <v>471</v>
      </c>
      <c r="S12" s="6">
        <f t="shared" si="2"/>
        <v>1.989786536070515E-2</v>
      </c>
      <c r="T12" s="6">
        <f t="shared" si="3"/>
        <v>2.1074010319206717E-2</v>
      </c>
      <c r="U12" s="6">
        <f t="shared" si="4"/>
        <v>2.1465098293986566E-2</v>
      </c>
      <c r="V12" s="6">
        <f t="shared" si="5"/>
        <v>2.3360722149995867E-2</v>
      </c>
      <c r="W12" s="6">
        <f t="shared" si="6"/>
        <v>2.6227807655052959E-2</v>
      </c>
      <c r="X12" s="6">
        <f t="shared" si="7"/>
        <v>2.9478324054790762E-2</v>
      </c>
      <c r="Y12" s="6">
        <f t="shared" si="8"/>
        <v>3.3152389124754343E-2</v>
      </c>
      <c r="Z12" s="6">
        <f t="shared" si="9"/>
        <v>3.6624309652768819E-2</v>
      </c>
      <c r="AA12" s="6">
        <f t="shared" si="10"/>
        <v>4.0081265547416464E-2</v>
      </c>
      <c r="AB12" s="6">
        <f t="shared" si="11"/>
        <v>4.3538221442064096E-2</v>
      </c>
    </row>
    <row r="13" spans="1:28">
      <c r="A13" s="4" t="str">
        <f>MCDrivers!A13</f>
        <v>nm</v>
      </c>
      <c r="B13" s="4">
        <f>MCDrivers!B13</f>
        <v>3.7405964801274436E-3</v>
      </c>
      <c r="C13" s="227">
        <f>INDEX(MCDrivers!$C13:$AQ13,1,MATCH(MCEcon!C$4,MCDrivers!$C$5:$AQ$5,0))</f>
        <v>3.9458169582075086E-3</v>
      </c>
      <c r="D13" s="227">
        <f>INDEX(MCDrivers!$C13:$AQ13,1,MATCH(MCEcon!D$4,MCDrivers!$C$5:$AQ$5,0))</f>
        <v>4.1229253400395368E-3</v>
      </c>
      <c r="E13" s="227">
        <f>INDEX(MCDrivers!$C13:$AQ13,1,MATCH(MCEcon!E$4,MCDrivers!$C$5:$AQ$5,0))</f>
        <v>4.5590612923370874E-3</v>
      </c>
      <c r="F13" s="227">
        <f>IFERROR(INDEX(MCDrivers!$C13:$AQ13,1,MATCH(MCEcon!F$4,MCDrivers!$C$5:$AQ$5,0)),FORECAST(F$5,D13:E13,D$5:E$5))</f>
        <v>5.1398737728964384E-3</v>
      </c>
      <c r="G13" s="227">
        <f>IFERROR(INDEX(MCDrivers!$C13:$AQ13,1,MATCH(MCEcon!G$4,MCDrivers!$C$5:$AQ$5,0)),FORECAST(G$5,E13:F13,E$5:F$5))</f>
        <v>5.7647898166047857E-3</v>
      </c>
      <c r="H13" s="227">
        <f>IFERROR(INDEX(MCDrivers!$C13:$AQ13,1,MATCH(MCEcon!H$4,MCDrivers!$C$5:$AQ$5,0)),FORECAST(H$5,F13:G13,F$5:G$5))</f>
        <v>6.4645097795605387E-3</v>
      </c>
      <c r="I13" s="227">
        <f>IFERROR(INDEX(MCDrivers!$C13:$AQ13,1,MATCH(MCEcon!I$4,MCDrivers!$C$5:$AQ$5,0)),FORECAST(I$5,G13:H13,G$5:H$5))</f>
        <v>7.1881448337910176E-3</v>
      </c>
      <c r="J13" s="227">
        <f>IFERROR(INDEX(MCDrivers!$C13:$AQ13,1,MATCH(MCEcon!J$4,MCDrivers!$C$5:$AQ$5,0)),FORECAST(J$5,H13:I13,H$5:I$5))</f>
        <v>7.9449803656438944E-3</v>
      </c>
      <c r="K13" s="227">
        <f>IFERROR(INDEX(MCDrivers!$C13:$AQ13,1,MATCH(MCEcon!K$4,MCDrivers!$C$5:$AQ$5,0)),FORECAST(K$5,I13:J13,I$5:J$5))</f>
        <v>8.7018158974967452E-3</v>
      </c>
      <c r="O13" s="4">
        <f t="shared" si="1"/>
        <v>1.9968651190447106E-2</v>
      </c>
      <c r="R13" t="s">
        <v>472</v>
      </c>
      <c r="S13" s="6">
        <f t="shared" si="2"/>
        <v>3.7405964801274436E-3</v>
      </c>
      <c r="T13" s="6">
        <f t="shared" si="3"/>
        <v>3.9458169582075086E-3</v>
      </c>
      <c r="U13" s="6">
        <f t="shared" si="4"/>
        <v>4.1229253400395368E-3</v>
      </c>
      <c r="V13" s="6">
        <f t="shared" si="5"/>
        <v>4.5590612923370874E-3</v>
      </c>
      <c r="W13" s="6">
        <f t="shared" si="6"/>
        <v>5.1398737728964384E-3</v>
      </c>
      <c r="X13" s="6">
        <f t="shared" si="7"/>
        <v>5.7647898166047857E-3</v>
      </c>
      <c r="Y13" s="6">
        <f t="shared" si="8"/>
        <v>6.4645097795605387E-3</v>
      </c>
      <c r="Z13" s="6">
        <f t="shared" si="9"/>
        <v>7.1881448337910176E-3</v>
      </c>
      <c r="AA13" s="6">
        <f t="shared" si="10"/>
        <v>7.9449803656438944E-3</v>
      </c>
      <c r="AB13" s="6">
        <f t="shared" si="11"/>
        <v>8.7018158974967452E-3</v>
      </c>
    </row>
    <row r="14" spans="1:28">
      <c r="A14" s="4" t="str">
        <f>MCDrivers!A14</f>
        <v>is</v>
      </c>
      <c r="B14" s="4">
        <f>MCDrivers!B14</f>
        <v>9.3942736075330446E-3</v>
      </c>
      <c r="C14" s="227">
        <f>INDEX(MCDrivers!$C14:$AQ14,1,MATCH(MCEcon!C$4,MCDrivers!$C$5:$AQ$5,0))</f>
        <v>9.8746420051609076E-3</v>
      </c>
      <c r="D14" s="227">
        <f>INDEX(MCDrivers!$C14:$AQ14,1,MATCH(MCEcon!D$4,MCDrivers!$C$5:$AQ$5,0))</f>
        <v>9.8261519633673477E-3</v>
      </c>
      <c r="E14" s="227">
        <f>INDEX(MCDrivers!$C14:$AQ14,1,MATCH(MCEcon!E$4,MCDrivers!$C$5:$AQ$5,0))</f>
        <v>1.0551067782226538E-2</v>
      </c>
      <c r="F14" s="227">
        <f>IFERROR(INDEX(MCDrivers!$C14:$AQ14,1,MATCH(MCEcon!F$4,MCDrivers!$C$5:$AQ$5,0)),FORECAST(F$5,D14:E14,D$5:E$5))</f>
        <v>1.2110936047320397E-2</v>
      </c>
      <c r="G14" s="227">
        <f>IFERROR(INDEX(MCDrivers!$C14:$AQ14,1,MATCH(MCEcon!G$4,MCDrivers!$C$5:$AQ$5,0)),FORECAST(G$5,E14:F14,E$5:F$5))</f>
        <v>1.3207331108911972E-2</v>
      </c>
      <c r="H14" s="227">
        <f>IFERROR(INDEX(MCDrivers!$C14:$AQ14,1,MATCH(MCEcon!H$4,MCDrivers!$C$5:$AQ$5,0)),FORECAST(H$5,F14:G14,F$5:G$5))</f>
        <v>1.4630106235926208E-2</v>
      </c>
      <c r="I14" s="227">
        <f>IFERROR(INDEX(MCDrivers!$C14:$AQ14,1,MATCH(MCEcon!I$4,MCDrivers!$C$5:$AQ$5,0)),FORECAST(I$5,G14:H14,G$5:H$5))</f>
        <v>1.5720226002454405E-2</v>
      </c>
      <c r="J14" s="227">
        <f>IFERROR(INDEX(MCDrivers!$C14:$AQ14,1,MATCH(MCEcon!J$4,MCDrivers!$C$5:$AQ$5,0)),FORECAST(J$5,H14:I14,H$5:I$5))</f>
        <v>1.6976780136067543E-2</v>
      </c>
      <c r="K14" s="227">
        <f>IFERROR(INDEX(MCDrivers!$C14:$AQ14,1,MATCH(MCEcon!K$4,MCDrivers!$C$5:$AQ$5,0)),FORECAST(K$5,I14:J14,I$5:J$5))</f>
        <v>1.8233334269680657E-2</v>
      </c>
      <c r="O14" s="4">
        <f t="shared" si="1"/>
        <v>1.5450174016311768E-2</v>
      </c>
      <c r="R14" t="s">
        <v>473</v>
      </c>
      <c r="S14" s="6">
        <f t="shared" si="2"/>
        <v>9.3942736075330446E-3</v>
      </c>
      <c r="T14" s="6">
        <f t="shared" si="3"/>
        <v>9.8746420051609076E-3</v>
      </c>
      <c r="U14" s="6">
        <f t="shared" si="4"/>
        <v>9.8261519633673477E-3</v>
      </c>
      <c r="V14" s="6">
        <f t="shared" si="5"/>
        <v>1.0551067782226538E-2</v>
      </c>
      <c r="W14" s="6">
        <f t="shared" si="6"/>
        <v>1.2110936047320397E-2</v>
      </c>
      <c r="X14" s="6">
        <f t="shared" si="7"/>
        <v>1.3207331108911972E-2</v>
      </c>
      <c r="Y14" s="6">
        <f t="shared" si="8"/>
        <v>1.4630106235926208E-2</v>
      </c>
      <c r="Z14" s="6">
        <f t="shared" si="9"/>
        <v>1.5720226002454405E-2</v>
      </c>
      <c r="AA14" s="6">
        <f t="shared" si="10"/>
        <v>1.6976780136067543E-2</v>
      </c>
      <c r="AB14" s="6">
        <f t="shared" si="11"/>
        <v>1.8233334269680657E-2</v>
      </c>
    </row>
    <row r="15" spans="1:28">
      <c r="A15" s="4" t="str">
        <f>MCDrivers!A15</f>
        <v>nf</v>
      </c>
      <c r="B15" s="4">
        <f>MCDrivers!B15</f>
        <v>3.9536166617103368E-3</v>
      </c>
      <c r="C15" s="227">
        <f>INDEX(MCDrivers!$C15:$AQ15,1,MATCH(MCEcon!C$4,MCDrivers!$C$5:$AQ$5,0))</f>
        <v>3.272939128233913E-3</v>
      </c>
      <c r="D15" s="227">
        <f>INDEX(MCDrivers!$C15:$AQ15,1,MATCH(MCEcon!D$4,MCDrivers!$C$5:$AQ$5,0))</f>
        <v>3.0776290679659633E-3</v>
      </c>
      <c r="E15" s="227">
        <f>INDEX(MCDrivers!$C15:$AQ15,1,MATCH(MCEcon!E$4,MCDrivers!$C$5:$AQ$5,0))</f>
        <v>2.9557685655329231E-3</v>
      </c>
      <c r="F15" s="227">
        <f>IFERROR(INDEX(MCDrivers!$C15:$AQ15,1,MATCH(MCEcon!F$4,MCDrivers!$C$5:$AQ$5,0)),FORECAST(F$5,D15:E15,D$5:E$5))</f>
        <v>3.6359716138911714E-3</v>
      </c>
      <c r="G15" s="227">
        <f>IFERROR(INDEX(MCDrivers!$C15:$AQ15,1,MATCH(MCEcon!G$4,MCDrivers!$C$5:$AQ$5,0)),FORECAST(G$5,E15:F15,E$5:F$5))</f>
        <v>4.049850401136112E-3</v>
      </c>
      <c r="H15" s="227">
        <f>IFERROR(INDEX(MCDrivers!$C15:$AQ15,1,MATCH(MCEcon!H$4,MCDrivers!$C$5:$AQ$5,0)),FORECAST(H$5,F15:G15,F$5:G$5))</f>
        <v>4.5385171698087848E-3</v>
      </c>
      <c r="I15" s="227">
        <f>IFERROR(INDEX(MCDrivers!$C15:$AQ15,1,MATCH(MCEcon!I$4,MCDrivers!$C$5:$AQ$5,0)),FORECAST(I$5,G15:H15,G$5:H$5))</f>
        <v>4.6856982918221692E-3</v>
      </c>
      <c r="J15" s="227">
        <f>IFERROR(INDEX(MCDrivers!$C15:$AQ15,1,MATCH(MCEcon!J$4,MCDrivers!$C$5:$AQ$5,0)),FORECAST(J$5,H15:I15,H$5:I$5))</f>
        <v>4.904578405206611E-3</v>
      </c>
      <c r="K15" s="227">
        <f>IFERROR(INDEX(MCDrivers!$C15:$AQ15,1,MATCH(MCEcon!K$4,MCDrivers!$C$5:$AQ$5,0)),FORECAST(K$5,I15:J15,I$5:J$5))</f>
        <v>5.1234585185910425E-3</v>
      </c>
      <c r="O15" s="4">
        <f t="shared" si="1"/>
        <v>1.1266527249385927E-2</v>
      </c>
      <c r="R15" t="s">
        <v>474</v>
      </c>
      <c r="S15" s="6">
        <f t="shared" si="2"/>
        <v>3.9536166617103368E-3</v>
      </c>
      <c r="T15" s="6">
        <f t="shared" si="3"/>
        <v>3.272939128233913E-3</v>
      </c>
      <c r="U15" s="6">
        <f t="shared" si="4"/>
        <v>3.0776290679659633E-3</v>
      </c>
      <c r="V15" s="6">
        <f t="shared" si="5"/>
        <v>2.9557685655329231E-3</v>
      </c>
      <c r="W15" s="6">
        <f t="shared" si="6"/>
        <v>3.6359716138911714E-3</v>
      </c>
      <c r="X15" s="6">
        <f t="shared" si="7"/>
        <v>4.049850401136112E-3</v>
      </c>
      <c r="Y15" s="6">
        <f t="shared" si="8"/>
        <v>4.5385171698087848E-3</v>
      </c>
      <c r="Z15" s="6">
        <f t="shared" si="9"/>
        <v>4.6856982918221692E-3</v>
      </c>
      <c r="AA15" s="6">
        <f t="shared" si="10"/>
        <v>4.904578405206611E-3</v>
      </c>
      <c r="AB15" s="6">
        <f t="shared" si="11"/>
        <v>5.1234585185910425E-3</v>
      </c>
    </row>
    <row r="16" spans="1:28">
      <c r="A16" s="4" t="str">
        <f>MCDrivers!A16</f>
        <v>hydr</v>
      </c>
      <c r="B16" s="4">
        <f>MCDrivers!B16</f>
        <v>7.4844246185401282E-8</v>
      </c>
      <c r="C16" s="227">
        <f>INDEX(MCDrivers!$C16:$AQ16,1,MATCH(MCEcon!C$4,MCDrivers!$C$5:$AQ$5,0))</f>
        <v>5.8624428925054489E-8</v>
      </c>
      <c r="D16" s="227">
        <f>INDEX(MCDrivers!$C16:$AQ16,1,MATCH(MCEcon!D$4,MCDrivers!$C$5:$AQ$5,0))</f>
        <v>2.676808425838151E-8</v>
      </c>
      <c r="E16" s="227">
        <f>INDEX(MCDrivers!$C16:$AQ16,1,MATCH(MCEcon!E$4,MCDrivers!$C$5:$AQ$5,0))</f>
        <v>2.9432271121722117E-8</v>
      </c>
      <c r="F16" s="227">
        <f>IFERROR(INDEX(MCDrivers!$C16:$AQ16,1,MATCH(MCEcon!F$4,MCDrivers!$C$5:$AQ$5,0)),FORECAST(F$5,D16:E16,D$5:E$5))</f>
        <v>6.7727565575437666E-4</v>
      </c>
      <c r="G16" s="227">
        <f>IFERROR(INDEX(MCDrivers!$C16:$AQ16,1,MATCH(MCEcon!G$4,MCDrivers!$C$5:$AQ$5,0)),FORECAST(G$5,E16:F16,E$5:F$5))</f>
        <v>2.3867900392649426E-3</v>
      </c>
      <c r="H16" s="227">
        <f>IFERROR(INDEX(MCDrivers!$C16:$AQ16,1,MATCH(MCEcon!H$4,MCDrivers!$C$5:$AQ$5,0)),FORECAST(H$5,F16:G16,F$5:G$5))</f>
        <v>3.7296792082086071E-3</v>
      </c>
      <c r="I16" s="227">
        <f>IFERROR(INDEX(MCDrivers!$C16:$AQ16,1,MATCH(MCEcon!I$4,MCDrivers!$C$5:$AQ$5,0)),FORECAST(I$5,G16:H16,G$5:H$5))</f>
        <v>4.7865075121987823E-3</v>
      </c>
      <c r="J16" s="227">
        <f>IFERROR(INDEX(MCDrivers!$C16:$AQ16,1,MATCH(MCEcon!J$4,MCDrivers!$C$5:$AQ$5,0)),FORECAST(J$5,H16:I16,H$5:I$5))</f>
        <v>5.2672611251803909E-3</v>
      </c>
      <c r="K16" s="227">
        <f>IFERROR(INDEX(MCDrivers!$C16:$AQ16,1,MATCH(MCEcon!K$4,MCDrivers!$C$5:$AQ$5,0)),FORECAST(K$5,I16:J16,I$5:J$5))</f>
        <v>5.7480147381619995E-3</v>
      </c>
      <c r="O16" s="4">
        <f t="shared" si="1"/>
        <v>0.33286443935370258</v>
      </c>
      <c r="R16" t="s">
        <v>2</v>
      </c>
      <c r="S16" s="6">
        <f t="shared" si="2"/>
        <v>7.4844246185401282E-8</v>
      </c>
      <c r="T16" s="6">
        <f t="shared" si="3"/>
        <v>5.8624428925054489E-8</v>
      </c>
      <c r="U16" s="6">
        <f t="shared" si="4"/>
        <v>2.676808425838151E-8</v>
      </c>
      <c r="V16" s="6">
        <f t="shared" si="5"/>
        <v>2.9432271121722117E-8</v>
      </c>
      <c r="W16" s="6">
        <f t="shared" si="6"/>
        <v>6.7727565575437666E-4</v>
      </c>
      <c r="X16" s="6">
        <f t="shared" si="7"/>
        <v>2.3867900392649426E-3</v>
      </c>
      <c r="Y16" s="6">
        <f t="shared" si="8"/>
        <v>3.7296792082086071E-3</v>
      </c>
      <c r="Z16" s="6">
        <f t="shared" si="9"/>
        <v>4.7865075121987823E-3</v>
      </c>
      <c r="AA16" s="6">
        <f t="shared" si="10"/>
        <v>5.2672611251803909E-3</v>
      </c>
      <c r="AB16" s="6">
        <f t="shared" si="11"/>
        <v>5.7480147381619995E-3</v>
      </c>
    </row>
    <row r="17" spans="1:28" s="227" customFormat="1">
      <c r="A17" s="227" t="str">
        <f>MCDrivers!A17</f>
        <v>elec</v>
      </c>
      <c r="B17" s="227">
        <f>MCDrivers!B17</f>
        <v>5.2358613561869397E-2</v>
      </c>
      <c r="C17" s="227">
        <f>INDEX(MCDrivers!$C17:$AQ17,1,MATCH(MCEcon!C$4,MCDrivers!$C$5:$AQ$5,0))</f>
        <v>5.2292035922615901E-2</v>
      </c>
      <c r="D17" s="227">
        <f>INDEX(MCDrivers!$C17:$AQ17,1,MATCH(MCEcon!D$4,MCDrivers!$C$5:$AQ$5,0))</f>
        <v>5.1540669389027335E-2</v>
      </c>
      <c r="E17" s="227">
        <f>INDEX(MCDrivers!$C17:$AQ17,1,MATCH(MCEcon!E$4,MCDrivers!$C$5:$AQ$5,0))</f>
        <v>5.4051546136404061E-2</v>
      </c>
      <c r="F17" s="227">
        <f>IFERROR(INDEX(MCDrivers!$C17:$AQ17,1,MATCH(MCEcon!F$4,MCDrivers!$C$5:$AQ$5,0)),FORECAST(F$5,D17:E17,D$5:E$5))</f>
        <v>6.0329046425654877E-2</v>
      </c>
      <c r="G17" s="227">
        <f>IFERROR(INDEX(MCDrivers!$C17:$AQ17,1,MATCH(MCEcon!G$4,MCDrivers!$C$5:$AQ$5,0)),FORECAST(G$5,E17:F17,E$5:F$5))</f>
        <v>6.7890892005187831E-2</v>
      </c>
      <c r="H17" s="227">
        <f>IFERROR(INDEX(MCDrivers!$C17:$AQ17,1,MATCH(MCEcon!H$4,MCDrivers!$C$5:$AQ$5,0)),FORECAST(H$5,F17:G17,F$5:G$5))</f>
        <v>7.3106383317389598E-2</v>
      </c>
      <c r="I17" s="227">
        <f>IFERROR(INDEX(MCDrivers!$C17:$AQ17,1,MATCH(MCEcon!I$4,MCDrivers!$C$5:$AQ$5,0)),FORECAST(I$5,G17:H17,G$5:H$5))</f>
        <v>7.9253677165978934E-2</v>
      </c>
      <c r="J17" s="227">
        <f>IFERROR(INDEX(MCDrivers!$C17:$AQ17,1,MATCH(MCEcon!J$4,MCDrivers!$C$5:$AQ$5,0)),FORECAST(J$5,H17:I17,H$5:I$5))</f>
        <v>8.6131224751441665E-2</v>
      </c>
      <c r="K17" s="227">
        <f>IFERROR(INDEX(MCDrivers!$C17:$AQ17,1,MATCH(MCEcon!K$4,MCDrivers!$C$5:$AQ$5,0)),FORECAST(K$5,I17:J17,I$5:J$5))</f>
        <v>9.3008772336904411E-2</v>
      </c>
      <c r="O17" s="227">
        <f t="shared" ref="O17:O19" si="12">(K17/C17)^(1/(K$5-C$5))-1</f>
        <v>1.4500368286328058E-2</v>
      </c>
      <c r="R17" s="227" t="s">
        <v>662</v>
      </c>
      <c r="S17" s="228">
        <f t="shared" ref="S17:S19" si="13">B17</f>
        <v>5.2358613561869397E-2</v>
      </c>
      <c r="T17" s="228">
        <f t="shared" ref="T17:T19" si="14">C17</f>
        <v>5.2292035922615901E-2</v>
      </c>
      <c r="U17" s="228">
        <f t="shared" ref="U17:U19" si="15">D17</f>
        <v>5.1540669389027335E-2</v>
      </c>
      <c r="V17" s="228">
        <f t="shared" ref="V17:V19" si="16">E17</f>
        <v>5.4051546136404061E-2</v>
      </c>
      <c r="W17" s="228">
        <f t="shared" ref="W17:W19" si="17">F17</f>
        <v>6.0329046425654877E-2</v>
      </c>
      <c r="X17" s="228">
        <f t="shared" ref="X17:X19" si="18">G17</f>
        <v>6.7890892005187831E-2</v>
      </c>
      <c r="Y17" s="228">
        <f t="shared" ref="Y17:Y19" si="19">H17</f>
        <v>7.3106383317389598E-2</v>
      </c>
      <c r="Z17" s="228">
        <f t="shared" ref="Z17:Z19" si="20">I17</f>
        <v>7.9253677165978934E-2</v>
      </c>
      <c r="AA17" s="228">
        <f t="shared" ref="AA17:AA19" si="21">J17</f>
        <v>8.6131224751441665E-2</v>
      </c>
      <c r="AB17" s="228">
        <f t="shared" ref="AB17:AB19" si="22">K17</f>
        <v>9.3008772336904411E-2</v>
      </c>
    </row>
    <row r="18" spans="1:28" s="227" customFormat="1">
      <c r="A18" s="227" t="str">
        <f>MCDrivers!A18</f>
        <v>tranlp</v>
      </c>
      <c r="B18" s="227">
        <f>MCDrivers!B18</f>
        <v>4.6450465012080775E-3</v>
      </c>
      <c r="C18" s="227">
        <f>INDEX(MCDrivers!$C18:$AQ18,1,MATCH(MCEcon!C$4,MCDrivers!$C$5:$AQ$5,0))</f>
        <v>6.0356794107202317E-3</v>
      </c>
      <c r="D18" s="227">
        <f>INDEX(MCDrivers!$C18:$AQ18,1,MATCH(MCEcon!D$4,MCDrivers!$C$5:$AQ$5,0))</f>
        <v>8.3217055106725966E-3</v>
      </c>
      <c r="E18" s="227">
        <f>INDEX(MCDrivers!$C18:$AQ18,1,MATCH(MCEcon!E$4,MCDrivers!$C$5:$AQ$5,0))</f>
        <v>1.0593044841862929E-2</v>
      </c>
      <c r="F18" s="227">
        <f>IFERROR(INDEX(MCDrivers!$C18:$AQ18,1,MATCH(MCEcon!F$4,MCDrivers!$C$5:$AQ$5,0)),FORECAST(F$5,D18:E18,D$5:E$5))</f>
        <v>1.4269935480175756E-2</v>
      </c>
      <c r="G18" s="227">
        <f>IFERROR(INDEX(MCDrivers!$C18:$AQ18,1,MATCH(MCEcon!G$4,MCDrivers!$C$5:$AQ$5,0)),FORECAST(G$5,E18:F18,E$5:F$5))</f>
        <v>1.8599717117136469E-2</v>
      </c>
      <c r="H18" s="227">
        <f>IFERROR(INDEX(MCDrivers!$C18:$AQ18,1,MATCH(MCEcon!H$4,MCDrivers!$C$5:$AQ$5,0)),FORECAST(H$5,F18:G18,F$5:G$5))</f>
        <v>2.3601180479183973E-2</v>
      </c>
      <c r="I18" s="227">
        <f>IFERROR(INDEX(MCDrivers!$C18:$AQ18,1,MATCH(MCEcon!I$4,MCDrivers!$C$5:$AQ$5,0)),FORECAST(I$5,G18:H18,G$5:H$5))</f>
        <v>2.7942644010851371E-2</v>
      </c>
      <c r="J18" s="227">
        <f>IFERROR(INDEX(MCDrivers!$C18:$AQ18,1,MATCH(MCEcon!J$4,MCDrivers!$C$5:$AQ$5,0)),FORECAST(J$5,H18:I18,H$5:I$5))</f>
        <v>3.1136617284328663E-2</v>
      </c>
      <c r="K18" s="227">
        <f>IFERROR(INDEX(MCDrivers!$C18:$AQ18,1,MATCH(MCEcon!K$4,MCDrivers!$C$5:$AQ$5,0)),FORECAST(K$5,I18:J18,I$5:J$5))</f>
        <v>3.433059055780574E-2</v>
      </c>
      <c r="O18" s="227">
        <f t="shared" si="12"/>
        <v>4.4416869007363191E-2</v>
      </c>
      <c r="R18" s="227" t="s">
        <v>663</v>
      </c>
      <c r="S18" s="228">
        <f t="shared" si="13"/>
        <v>4.6450465012080775E-3</v>
      </c>
      <c r="T18" s="228">
        <f t="shared" si="14"/>
        <v>6.0356794107202317E-3</v>
      </c>
      <c r="U18" s="228">
        <f t="shared" si="15"/>
        <v>8.3217055106725966E-3</v>
      </c>
      <c r="V18" s="228">
        <f t="shared" si="16"/>
        <v>1.0593044841862929E-2</v>
      </c>
      <c r="W18" s="228">
        <f t="shared" si="17"/>
        <v>1.4269935480175756E-2</v>
      </c>
      <c r="X18" s="228">
        <f t="shared" si="18"/>
        <v>1.8599717117136469E-2</v>
      </c>
      <c r="Y18" s="228">
        <f t="shared" si="19"/>
        <v>2.3601180479183973E-2</v>
      </c>
      <c r="Z18" s="228">
        <f t="shared" si="20"/>
        <v>2.7942644010851371E-2</v>
      </c>
      <c r="AA18" s="228">
        <f t="shared" si="21"/>
        <v>3.1136617284328663E-2</v>
      </c>
      <c r="AB18" s="228">
        <f t="shared" si="22"/>
        <v>3.433059055780574E-2</v>
      </c>
    </row>
    <row r="19" spans="1:28" s="227" customFormat="1">
      <c r="A19" s="227" t="str">
        <f>MCDrivers!A19</f>
        <v>tranlf</v>
      </c>
      <c r="B19" s="227">
        <f>MCDrivers!B19</f>
        <v>2.9857347895642108E-2</v>
      </c>
      <c r="C19" s="227">
        <f>INDEX(MCDrivers!$C19:$AQ19,1,MATCH(MCEcon!C$4,MCDrivers!$C$5:$AQ$5,0))</f>
        <v>3.1957089069586712E-2</v>
      </c>
      <c r="D19" s="227">
        <f>INDEX(MCDrivers!$C19:$AQ19,1,MATCH(MCEcon!D$4,MCDrivers!$C$5:$AQ$5,0))</f>
        <v>3.3315783676328731E-2</v>
      </c>
      <c r="E19" s="227">
        <f>INDEX(MCDrivers!$C19:$AQ19,1,MATCH(MCEcon!E$4,MCDrivers!$C$5:$AQ$5,0))</f>
        <v>3.5919232843928166E-2</v>
      </c>
      <c r="F19" s="227">
        <f>IFERROR(INDEX(MCDrivers!$C19:$AQ19,1,MATCH(MCEcon!F$4,MCDrivers!$C$5:$AQ$5,0)),FORECAST(F$5,D19:E19,D$5:E$5))</f>
        <v>3.9393555010369931E-2</v>
      </c>
      <c r="G19" s="227">
        <f>IFERROR(INDEX(MCDrivers!$C19:$AQ19,1,MATCH(MCEcon!G$4,MCDrivers!$C$5:$AQ$5,0)),FORECAST(G$5,E19:F19,E$5:F$5))</f>
        <v>4.3579147738591111E-2</v>
      </c>
      <c r="H19" s="227">
        <f>IFERROR(INDEX(MCDrivers!$C19:$AQ19,1,MATCH(MCEcon!H$4,MCDrivers!$C$5:$AQ$5,0)),FORECAST(H$5,F19:G19,F$5:G$5))</f>
        <v>4.8285991518724383E-2</v>
      </c>
      <c r="I19" s="227">
        <f>IFERROR(INDEX(MCDrivers!$C19:$AQ19,1,MATCH(MCEcon!I$4,MCDrivers!$C$5:$AQ$5,0)),FORECAST(I$5,G19:H19,G$5:H$5))</f>
        <v>5.3223852553463055E-2</v>
      </c>
      <c r="J19" s="227">
        <f>IFERROR(INDEX(MCDrivers!$C19:$AQ19,1,MATCH(MCEcon!J$4,MCDrivers!$C$5:$AQ$5,0)),FORECAST(J$5,H19:I19,H$5:I$5))</f>
        <v>5.8299222792853836E-2</v>
      </c>
      <c r="K19" s="227">
        <f>IFERROR(INDEX(MCDrivers!$C19:$AQ19,1,MATCH(MCEcon!K$4,MCDrivers!$C$5:$AQ$5,0)),FORECAST(K$5,I19:J19,I$5:J$5))</f>
        <v>6.3374593032244242E-2</v>
      </c>
      <c r="O19" s="227">
        <f t="shared" si="12"/>
        <v>1.7264055643759768E-2</v>
      </c>
      <c r="R19" s="227" t="s">
        <v>664</v>
      </c>
      <c r="S19" s="228">
        <f t="shared" si="13"/>
        <v>2.9857347895642108E-2</v>
      </c>
      <c r="T19" s="228">
        <f t="shared" si="14"/>
        <v>3.1957089069586712E-2</v>
      </c>
      <c r="U19" s="228">
        <f t="shared" si="15"/>
        <v>3.3315783676328731E-2</v>
      </c>
      <c r="V19" s="228">
        <f t="shared" si="16"/>
        <v>3.5919232843928166E-2</v>
      </c>
      <c r="W19" s="228">
        <f t="shared" si="17"/>
        <v>3.9393555010369931E-2</v>
      </c>
      <c r="X19" s="228">
        <f t="shared" si="18"/>
        <v>4.3579147738591111E-2</v>
      </c>
      <c r="Y19" s="228">
        <f t="shared" si="19"/>
        <v>4.8285991518724383E-2</v>
      </c>
      <c r="Z19" s="228">
        <f t="shared" si="20"/>
        <v>5.3223852553463055E-2</v>
      </c>
      <c r="AA19" s="228">
        <f t="shared" si="21"/>
        <v>5.8299222792853836E-2</v>
      </c>
      <c r="AB19" s="228">
        <f t="shared" si="22"/>
        <v>6.3374593032244242E-2</v>
      </c>
    </row>
    <row r="20" spans="1:28" s="227" customFormat="1">
      <c r="A20" s="227" t="str">
        <f>MCDrivers!A20</f>
        <v>trana</v>
      </c>
      <c r="B20" s="227">
        <f>MCDrivers!B20</f>
        <v>2.2298555159424292E-3</v>
      </c>
      <c r="C20" s="227">
        <f>INDEX(MCDrivers!$C20:$AQ20,1,MATCH(MCEcon!C$4,MCDrivers!$C$5:$AQ$5,0))</f>
        <v>2.4800086197154843E-3</v>
      </c>
      <c r="D20" s="227">
        <f>INDEX(MCDrivers!$C20:$AQ20,1,MATCH(MCEcon!D$4,MCDrivers!$C$5:$AQ$5,0))</f>
        <v>2.7276641977505983E-3</v>
      </c>
      <c r="E20" s="227">
        <f>INDEX(MCDrivers!$C20:$AQ20,1,MATCH(MCEcon!E$4,MCDrivers!$C$5:$AQ$5,0))</f>
        <v>2.9013835041082196E-3</v>
      </c>
      <c r="F20" s="227">
        <f>IFERROR(INDEX(MCDrivers!$C20:$AQ20,1,MATCH(MCEcon!F$4,MCDrivers!$C$5:$AQ$5,0)),FORECAST(F$5,D20:E20,D$5:E$5))</f>
        <v>3.1639375969959196E-3</v>
      </c>
      <c r="G20" s="227">
        <f>IFERROR(INDEX(MCDrivers!$C20:$AQ20,1,MATCH(MCEcon!G$4,MCDrivers!$C$5:$AQ$5,0)),FORECAST(G$5,E20:F20,E$5:F$5))</f>
        <v>3.4637418795341441E-3</v>
      </c>
      <c r="H20" s="227">
        <f>IFERROR(INDEX(MCDrivers!$C20:$AQ20,1,MATCH(MCEcon!H$4,MCDrivers!$C$5:$AQ$5,0)),FORECAST(H$5,F20:G20,F$5:G$5))</f>
        <v>3.786177822473139E-3</v>
      </c>
      <c r="I20" s="227">
        <f>IFERROR(INDEX(MCDrivers!$C20:$AQ20,1,MATCH(MCEcon!I$4,MCDrivers!$C$5:$AQ$5,0)),FORECAST(I$5,G20:H20,G$5:H$5))</f>
        <v>4.1095772869251933E-3</v>
      </c>
      <c r="J20" s="227">
        <f>IFERROR(INDEX(MCDrivers!$C20:$AQ20,1,MATCH(MCEcon!J$4,MCDrivers!$C$5:$AQ$5,0)),FORECAST(J$5,H20:I20,H$5:I$5))</f>
        <v>4.3861391350320106E-3</v>
      </c>
      <c r="K20" s="227">
        <f>IFERROR(INDEX(MCDrivers!$C20:$AQ20,1,MATCH(MCEcon!K$4,MCDrivers!$C$5:$AQ$5,0)),FORECAST(K$5,I20:J20,I$5:J$5))</f>
        <v>4.6627009831388261E-3</v>
      </c>
      <c r="S20" s="228"/>
      <c r="T20" s="228"/>
      <c r="U20" s="228"/>
      <c r="V20" s="228"/>
      <c r="W20" s="228"/>
      <c r="X20" s="228"/>
      <c r="Y20" s="228"/>
      <c r="Z20" s="228"/>
      <c r="AA20" s="228"/>
      <c r="AB20" s="228"/>
    </row>
    <row r="21" spans="1:28">
      <c r="A21" s="227" t="str">
        <f>MCDrivers!A21</f>
        <v>trano</v>
      </c>
      <c r="B21" s="227">
        <f>MCDrivers!B21</f>
        <v>1.6324972857029358E-4</v>
      </c>
      <c r="C21" s="227">
        <f>INDEX(MCDrivers!$C21:$AQ21,1,MATCH(MCEcon!C$4,MCDrivers!$C$5:$AQ$5,0))</f>
        <v>1.5145973200099698E-4</v>
      </c>
      <c r="D21" s="227">
        <f>INDEX(MCDrivers!$C21:$AQ21,1,MATCH(MCEcon!D$4,MCDrivers!$C$5:$AQ$5,0))</f>
        <v>1.3190346916901207E-4</v>
      </c>
      <c r="E21" s="227">
        <f>INDEX(MCDrivers!$C21:$AQ21,1,MATCH(MCEcon!E$4,MCDrivers!$C$5:$AQ$5,0))</f>
        <v>1.4846375267113155E-4</v>
      </c>
      <c r="F21" s="227">
        <f>IFERROR(INDEX(MCDrivers!$C21:$AQ21,1,MATCH(MCEcon!F$4,MCDrivers!$C$5:$AQ$5,0)),FORECAST(F$5,D21:E21,D$5:E$5))</f>
        <v>1.6209824782721812E-4</v>
      </c>
      <c r="G21" s="227">
        <f>IFERROR(INDEX(MCDrivers!$C21:$AQ21,1,MATCH(MCEcon!G$4,MCDrivers!$C$5:$AQ$5,0)),FORECAST(G$5,E21:F21,E$5:F$5))</f>
        <v>1.8405353576763254E-4</v>
      </c>
      <c r="H21" s="227">
        <f>IFERROR(INDEX(MCDrivers!$C21:$AQ21,1,MATCH(MCEcon!H$4,MCDrivers!$C$5:$AQ$5,0)),FORECAST(H$5,F21:G21,F$5:G$5))</f>
        <v>2.0940425585030297E-4</v>
      </c>
      <c r="I21" s="227">
        <f>IFERROR(INDEX(MCDrivers!$C21:$AQ21,1,MATCH(MCEcon!I$4,MCDrivers!$C$5:$AQ$5,0)),FORECAST(I$5,G21:H21,G$5:H$5))</f>
        <v>2.4002247863262138E-4</v>
      </c>
      <c r="J21" s="227">
        <f>IFERROR(INDEX(MCDrivers!$C21:$AQ21,1,MATCH(MCEcon!J$4,MCDrivers!$C$5:$AQ$5,0)),FORECAST(J$5,H21:I21,H$5:I$5))</f>
        <v>2.8025966700077475E-4</v>
      </c>
      <c r="K21" s="227">
        <f>IFERROR(INDEX(MCDrivers!$C21:$AQ21,1,MATCH(MCEcon!K$4,MCDrivers!$C$5:$AQ$5,0)),FORECAST(K$5,I21:J21,I$5:J$5))</f>
        <v>3.2049685536892844E-4</v>
      </c>
      <c r="O21" s="4">
        <f t="shared" si="1"/>
        <v>1.8915490212469743E-2</v>
      </c>
      <c r="R21" t="s">
        <v>665</v>
      </c>
      <c r="S21" s="6">
        <f t="shared" si="2"/>
        <v>1.6324972857029358E-4</v>
      </c>
      <c r="T21" s="6">
        <f t="shared" si="3"/>
        <v>1.5145973200099698E-4</v>
      </c>
      <c r="U21" s="6">
        <f t="shared" si="4"/>
        <v>1.3190346916901207E-4</v>
      </c>
      <c r="V21" s="6">
        <f t="shared" si="5"/>
        <v>1.4846375267113155E-4</v>
      </c>
      <c r="W21" s="6">
        <f t="shared" si="6"/>
        <v>1.6209824782721812E-4</v>
      </c>
      <c r="X21" s="6">
        <f t="shared" si="7"/>
        <v>1.8405353576763254E-4</v>
      </c>
      <c r="Y21" s="6">
        <f t="shared" si="8"/>
        <v>2.0940425585030297E-4</v>
      </c>
      <c r="Z21" s="6">
        <f t="shared" si="9"/>
        <v>2.4002247863262138E-4</v>
      </c>
      <c r="AA21" s="6">
        <f t="shared" si="10"/>
        <v>2.8025966700077475E-4</v>
      </c>
      <c r="AB21" s="6">
        <f t="shared" si="11"/>
        <v>3.2049685536892844E-4</v>
      </c>
    </row>
    <row r="22" spans="1:28">
      <c r="A22" t="s">
        <v>212</v>
      </c>
      <c r="B22">
        <f t="shared" ref="B22:K22" si="23">SUM(B6:B21)</f>
        <v>0.53549652135826997</v>
      </c>
      <c r="C22" s="4">
        <f t="shared" si="23"/>
        <v>0.56587346573140396</v>
      </c>
      <c r="D22" s="4">
        <f t="shared" si="23"/>
        <v>0.59174858799451135</v>
      </c>
      <c r="E22" s="4">
        <f t="shared" si="23"/>
        <v>0.64056504942166259</v>
      </c>
      <c r="F22" s="4">
        <f t="shared" si="23"/>
        <v>0.71352967589136751</v>
      </c>
      <c r="G22" s="4">
        <f t="shared" si="23"/>
        <v>0.79520867791168925</v>
      </c>
      <c r="H22" s="4">
        <f t="shared" si="23"/>
        <v>0.88466795532034903</v>
      </c>
      <c r="I22" s="4">
        <f t="shared" si="23"/>
        <v>0.97417177550285561</v>
      </c>
      <c r="J22" s="4">
        <f t="shared" si="23"/>
        <v>1.0643455652319223</v>
      </c>
      <c r="K22" s="4">
        <f t="shared" si="23"/>
        <v>1.1545193549609853</v>
      </c>
      <c r="R22" t="s">
        <v>475</v>
      </c>
      <c r="S22" s="6"/>
      <c r="T22" s="6"/>
      <c r="U22" s="6"/>
      <c r="V22" s="6"/>
      <c r="W22" s="6"/>
      <c r="X22" s="6"/>
      <c r="Y22" s="6"/>
      <c r="Z22" s="6"/>
      <c r="AA22" s="6"/>
      <c r="AB22" s="6"/>
    </row>
    <row r="23" spans="1:28">
      <c r="A23" t="s">
        <v>286</v>
      </c>
      <c r="C23" s="130">
        <f>(C22/B22)^(1/(C$5-B$5))-1</f>
        <v>1.8562208679564707E-2</v>
      </c>
      <c r="D23" s="130">
        <f>(D22/C22)^(1/(D$5-C$5))-1</f>
        <v>8.9823751336561841E-3</v>
      </c>
      <c r="E23" s="130">
        <f>(E22/D22)^(1/(E$5-D$5))-1</f>
        <v>1.5980100521508334E-2</v>
      </c>
      <c r="F23" s="130">
        <f t="shared" ref="F23:K23" si="24">(F22/E22)^(1/(F$5-E$5))-1</f>
        <v>2.1809086278593792E-2</v>
      </c>
      <c r="G23" s="130">
        <f t="shared" si="24"/>
        <v>2.1912741520719425E-2</v>
      </c>
      <c r="H23" s="130">
        <f t="shared" si="24"/>
        <v>2.1550491612767342E-2</v>
      </c>
      <c r="I23" s="130">
        <f t="shared" si="24"/>
        <v>1.9462016368125834E-2</v>
      </c>
      <c r="J23" s="130">
        <f t="shared" si="24"/>
        <v>1.7863221935439544E-2</v>
      </c>
      <c r="K23" s="130">
        <f t="shared" si="24"/>
        <v>1.6397791285641672E-2</v>
      </c>
    </row>
    <row r="24" spans="1:28">
      <c r="A24" t="s">
        <v>409</v>
      </c>
    </row>
    <row r="25" spans="1:28">
      <c r="B25">
        <f t="shared" ref="B25:K25" si="25">B5</f>
        <v>2012</v>
      </c>
      <c r="C25" s="4" t="str">
        <f>C4</f>
        <v>2015</v>
      </c>
      <c r="D25" s="227" t="str">
        <f t="shared" ref="D25:J25" si="26">D4</f>
        <v>2020</v>
      </c>
      <c r="E25" s="227" t="str">
        <f t="shared" si="26"/>
        <v>2025</v>
      </c>
      <c r="F25" s="227" t="str">
        <f t="shared" si="26"/>
        <v>2030</v>
      </c>
      <c r="G25" s="227" t="str">
        <f t="shared" si="26"/>
        <v>2035</v>
      </c>
      <c r="H25" s="227" t="str">
        <f t="shared" si="26"/>
        <v>2040</v>
      </c>
      <c r="I25" s="227" t="str">
        <f t="shared" si="26"/>
        <v>2045</v>
      </c>
      <c r="J25" s="227" t="str">
        <f t="shared" si="26"/>
        <v>2050</v>
      </c>
      <c r="K25" s="4">
        <f t="shared" si="25"/>
        <v>2055</v>
      </c>
    </row>
    <row r="26" spans="1:28">
      <c r="B26" s="6">
        <f>MCDrivers!A43/1000</f>
        <v>53.032389033699296</v>
      </c>
      <c r="C26" s="6">
        <f>INDEX(MCDrivers!$A$43:$Y$43,1,MATCH(MCEcon!C4,MCDrivers!$A$42:$Y$42,0))/1000</f>
        <v>54.490406</v>
      </c>
      <c r="D26" s="228">
        <f>INDEX(MCDrivers!$A$43:$Y$43,1,MATCH(MCEcon!D4,MCDrivers!$A$42:$Y$42,0))/1000</f>
        <v>57.162831300000001</v>
      </c>
      <c r="E26" s="228">
        <f>INDEX(MCDrivers!$A$43:$Y$43,1,MATCH(MCEcon!E4,MCDrivers!$A$42:$Y$42,0))/1000</f>
        <v>59.871622669999994</v>
      </c>
      <c r="F26" s="228">
        <f>INDEX(MCDrivers!$A$43:$Y$43,1,MATCH(MCEcon!F4,MCDrivers!$A$42:$Y$42,0))/1000</f>
        <v>62.806307520000004</v>
      </c>
      <c r="G26" s="228">
        <f>INDEX(MCDrivers!$A$43:$Y$43,1,MATCH(MCEcon!G4,MCDrivers!$A$42:$Y$42,0))/1000</f>
        <v>65.641359389999991</v>
      </c>
      <c r="H26" s="228">
        <f>INDEX(MCDrivers!$A$43:$Y$43,1,MATCH(MCEcon!H4,MCDrivers!$A$42:$Y$42,0))/1000</f>
        <v>68.587870429999995</v>
      </c>
      <c r="I26" s="228">
        <f>INDEX(MCDrivers!$A$43:$Y$43,1,MATCH(MCEcon!I4,MCDrivers!$A$42:$Y$42,0))/1000</f>
        <v>71.951396320000001</v>
      </c>
      <c r="J26" s="228">
        <f>INDEX(MCDrivers!$A$43:$Y$43,1,MATCH(MCEcon!J4,MCDrivers!$A$42:$Y$42,0))/1000</f>
        <v>75.196209429999996</v>
      </c>
      <c r="K26" s="4">
        <f>FORECAST(K$5,I26:J26,I$5:J$5)</f>
        <v>78.441022539999949</v>
      </c>
    </row>
    <row r="28" spans="1:28">
      <c r="A28" t="s">
        <v>457</v>
      </c>
      <c r="L28" s="257" t="s">
        <v>677</v>
      </c>
    </row>
    <row r="29" spans="1:28" s="4" customFormat="1">
      <c r="B29" s="4">
        <f t="shared" ref="B29:K29" si="27">B5</f>
        <v>2012</v>
      </c>
      <c r="C29" s="4">
        <f t="shared" si="27"/>
        <v>2015</v>
      </c>
      <c r="D29" s="4">
        <f t="shared" si="27"/>
        <v>2020</v>
      </c>
      <c r="E29" s="4">
        <f t="shared" si="27"/>
        <v>2025</v>
      </c>
      <c r="F29" s="4">
        <f t="shared" si="27"/>
        <v>2030</v>
      </c>
      <c r="G29" s="4">
        <f t="shared" si="27"/>
        <v>2035</v>
      </c>
      <c r="H29" s="4">
        <f t="shared" si="27"/>
        <v>2040</v>
      </c>
      <c r="I29" s="4">
        <f t="shared" si="27"/>
        <v>2045</v>
      </c>
      <c r="J29" s="4">
        <f t="shared" si="27"/>
        <v>2050</v>
      </c>
      <c r="K29" s="4">
        <f t="shared" si="27"/>
        <v>2055</v>
      </c>
      <c r="L29" s="4">
        <v>2017</v>
      </c>
      <c r="M29" s="4" t="s">
        <v>570</v>
      </c>
    </row>
    <row r="30" spans="1:28" s="4" customFormat="1">
      <c r="A30" s="4" t="str">
        <f>MCDrivers!A61</f>
        <v>hhd-le</v>
      </c>
      <c r="B30" s="4">
        <f>MCDrivers!B61</f>
        <v>0.44199404226547501</v>
      </c>
      <c r="C30" s="257">
        <f>(D30-B30)/8*3+B30</f>
        <v>0.42623934038097749</v>
      </c>
      <c r="D30" s="227">
        <f>INDEX(MCDrivers!$B61:$AJ61,1,MATCH(D$4,MCDrivers!$B$60:$AJ$60,0))</f>
        <v>0.39998150390681497</v>
      </c>
      <c r="E30" s="227">
        <f>INDEX(MCDrivers!$B61:$AJ61,1,MATCH(E$4,MCDrivers!$B$60:$AJ$60,0))</f>
        <v>0.37893489245669187</v>
      </c>
      <c r="F30" s="227">
        <f>INDEX(MCDrivers!$B61:$AJ61,1,MATCH(F$4,MCDrivers!$B$60:$AJ$60,0))</f>
        <v>0.3495699323755212</v>
      </c>
      <c r="G30" s="227">
        <f>INDEX(MCDrivers!$B61:$AJ61,1,MATCH(G$4,MCDrivers!$B$60:$AJ$60,0))</f>
        <v>0.32265152910235123</v>
      </c>
      <c r="H30" s="227">
        <f>INDEX(MCDrivers!$B61:$AJ61,1,MATCH(H$4,MCDrivers!$B$60:$AJ$60,0))</f>
        <v>0.29803995905848013</v>
      </c>
      <c r="I30" s="227">
        <f>INDEX(MCDrivers!$B61:$AJ61,1,MATCH(I$4,MCDrivers!$B$60:$AJ$60,0))</f>
        <v>0.27688472904921468</v>
      </c>
      <c r="J30" s="227">
        <f>INDEX(MCDrivers!$B61:$AJ61,1,MATCH(J$4,MCDrivers!$B$60:$AJ$60,0))</f>
        <v>0.26022095199914791</v>
      </c>
      <c r="K30" s="4">
        <f>FORECAST(K$5,I30:J30,I$5:J$5)</f>
        <v>0.24355717494908102</v>
      </c>
      <c r="L30" s="4">
        <f>(D30-C30)*2/5+C30</f>
        <v>0.41573620579131249</v>
      </c>
      <c r="M30" s="4">
        <f>B30</f>
        <v>0.44199404226547501</v>
      </c>
    </row>
    <row r="31" spans="1:28" s="4" customFormat="1">
      <c r="A31" s="4" t="str">
        <f>MCDrivers!A62</f>
        <v>hhd-me</v>
      </c>
      <c r="B31" s="227">
        <f>M31</f>
        <v>0.32</v>
      </c>
      <c r="C31" s="227">
        <f>INDEX(MCDrivers!$B62:$AJ62,1,MATCH(C$4,MCDrivers!$B$60:$AJ$60,0))/INDEX(MCDrivers!$B62:$AJ62,1,MATCH(B$4,MCDrivers!$B$60:$AJ$60,0))*B31</f>
        <v>0.32495155446263069</v>
      </c>
      <c r="D31" s="227">
        <f>INDEX(MCDrivers!$B62:$AJ62,1,MATCH(D$4,MCDrivers!$B$60:$AJ$60,0))/INDEX(MCDrivers!$B62:$AJ62,1,MATCH(C$4,MCDrivers!$B$60:$AJ$60,0))*C31</f>
        <v>0.33208415226458682</v>
      </c>
      <c r="E31" s="227">
        <f>INDEX(MCDrivers!$B62:$AJ62,1,MATCH(E$4,MCDrivers!$B$60:$AJ$60,0))/INDEX(MCDrivers!$B62:$AJ62,1,MATCH(D$4,MCDrivers!$B$60:$AJ$60,0))*D31</f>
        <v>0.34105341572579934</v>
      </c>
      <c r="F31" s="227">
        <f>INDEX(MCDrivers!$B62:$AJ62,1,MATCH(F$4,MCDrivers!$B$60:$AJ$60,0))/INDEX(MCDrivers!$B62:$AJ62,1,MATCH(E$4,MCDrivers!$B$60:$AJ$60,0))*E31</f>
        <v>0.3497750004701019</v>
      </c>
      <c r="G31" s="227">
        <f>INDEX(MCDrivers!$B62:$AJ62,1,MATCH(G$4,MCDrivers!$B$60:$AJ$60,0))/INDEX(MCDrivers!$B62:$AJ62,1,MATCH(F$4,MCDrivers!$B$60:$AJ$60,0))*F31</f>
        <v>0.35873277052659369</v>
      </c>
      <c r="H31" s="227">
        <f>INDEX(MCDrivers!$B62:$AJ62,1,MATCH(H$4,MCDrivers!$B$60:$AJ$60,0))/INDEX(MCDrivers!$B62:$AJ62,1,MATCH(G$4,MCDrivers!$B$60:$AJ$60,0))*G31</f>
        <v>0.36801537886809155</v>
      </c>
      <c r="I31" s="227">
        <f>INDEX(MCDrivers!$B62:$AJ62,1,MATCH(I$4,MCDrivers!$B$60:$AJ$60,0))/INDEX(MCDrivers!$B62:$AJ62,1,MATCH(H$4,MCDrivers!$B$60:$AJ$60,0))*H31</f>
        <v>0.37419458270562483</v>
      </c>
      <c r="J31" s="227">
        <f>INDEX(MCDrivers!$B62:$AJ62,1,MATCH(J$4,MCDrivers!$B$60:$AJ$60,0))/INDEX(MCDrivers!$B62:$AJ62,1,MATCH(I$4,MCDrivers!$B$60:$AJ$60,0))*I31</f>
        <v>0.38089684319851058</v>
      </c>
      <c r="K31" s="227">
        <f>FORECAST(K$5,I31:J31,I$5:J$5)</f>
        <v>0.38759910369139616</v>
      </c>
      <c r="L31" s="227">
        <f t="shared" ref="L31:L32" si="28">(D31-C31)*2/5+C31</f>
        <v>0.32780459358341313</v>
      </c>
      <c r="M31" s="4">
        <v>0.32</v>
      </c>
    </row>
    <row r="32" spans="1:28" s="4" customFormat="1">
      <c r="A32" s="4" t="str">
        <f>MCDrivers!A63</f>
        <v>hhd-he</v>
      </c>
      <c r="B32" s="4">
        <f>1-SUM(B30:B31)</f>
        <v>0.23800595773452504</v>
      </c>
      <c r="C32" s="227">
        <f t="shared" ref="C32:K32" si="29">1-SUM(C30:C31)</f>
        <v>0.24880910515639187</v>
      </c>
      <c r="D32" s="227">
        <f t="shared" si="29"/>
        <v>0.26793434382859815</v>
      </c>
      <c r="E32" s="227">
        <f t="shared" si="29"/>
        <v>0.28001169181750885</v>
      </c>
      <c r="F32" s="227">
        <f t="shared" si="29"/>
        <v>0.30065506715437684</v>
      </c>
      <c r="G32" s="227">
        <f t="shared" si="29"/>
        <v>0.31861570037105502</v>
      </c>
      <c r="H32" s="227">
        <f t="shared" si="29"/>
        <v>0.33394466207342832</v>
      </c>
      <c r="I32" s="227">
        <f t="shared" si="29"/>
        <v>0.34892068824516054</v>
      </c>
      <c r="J32" s="227">
        <f t="shared" si="29"/>
        <v>0.35888220480234145</v>
      </c>
      <c r="K32" s="227">
        <f t="shared" si="29"/>
        <v>0.36884372135952281</v>
      </c>
      <c r="L32" s="227">
        <f t="shared" si="28"/>
        <v>0.25645920062527439</v>
      </c>
      <c r="M32" s="4">
        <f>1-(M30+M31)</f>
        <v>0.23800595773452504</v>
      </c>
    </row>
    <row r="33" spans="1:41" s="4" customFormat="1">
      <c r="C33" s="262"/>
      <c r="L33" s="4">
        <f>SUM(L30:L32)</f>
        <v>1</v>
      </c>
    </row>
    <row r="34" spans="1:41" s="4" customFormat="1">
      <c r="A34" s="4" t="s">
        <v>458</v>
      </c>
    </row>
    <row r="35" spans="1:41" s="4" customFormat="1">
      <c r="B35" s="4">
        <f t="shared" ref="B35:J35" si="30">B5</f>
        <v>2012</v>
      </c>
      <c r="C35" s="4">
        <f t="shared" si="30"/>
        <v>2015</v>
      </c>
      <c r="D35" s="4">
        <f t="shared" si="30"/>
        <v>2020</v>
      </c>
      <c r="E35" s="4">
        <f t="shared" si="30"/>
        <v>2025</v>
      </c>
      <c r="F35" s="4">
        <f t="shared" si="30"/>
        <v>2030</v>
      </c>
      <c r="G35" s="4">
        <f t="shared" si="30"/>
        <v>2035</v>
      </c>
      <c r="H35" s="4">
        <f t="shared" si="30"/>
        <v>2040</v>
      </c>
      <c r="I35" s="4">
        <f t="shared" si="30"/>
        <v>2045</v>
      </c>
      <c r="J35" s="4">
        <f t="shared" si="30"/>
        <v>2050</v>
      </c>
    </row>
    <row r="36" spans="1:41" s="4" customFormat="1">
      <c r="B36" s="24">
        <f>MCDrivers!A71/MCDrivers!$A71</f>
        <v>1</v>
      </c>
      <c r="C36" s="24">
        <f>MCDrivers!B71/MCDrivers!$A71</f>
        <v>1.0607967201890196</v>
      </c>
      <c r="D36" s="24">
        <f>MCDrivers!C71/MCDrivers!$A71</f>
        <v>1.0625541860847787</v>
      </c>
      <c r="E36" s="24">
        <f>MCDrivers!D71/MCDrivers!$A71</f>
        <v>1.0754567339506294</v>
      </c>
      <c r="F36" s="24">
        <f>MCDrivers!E71/MCDrivers!$A71</f>
        <v>1.0738543861159591</v>
      </c>
      <c r="G36" s="24">
        <f>MCDrivers!F71/MCDrivers!$A71</f>
        <v>1.0640869762825218</v>
      </c>
      <c r="H36" s="24">
        <f>MCDrivers!G71/MCDrivers!$A71</f>
        <v>1.0753270113967346</v>
      </c>
      <c r="I36" s="24">
        <f>MCDrivers!H71/MCDrivers!$A71</f>
        <v>1.0818701925063405</v>
      </c>
      <c r="J36" s="24">
        <f>MCDrivers!I71/MCDrivers!$A71</f>
        <v>1.0916445074168699</v>
      </c>
    </row>
    <row r="37" spans="1:41" s="4" customFormat="1">
      <c r="A37" s="4" t="s">
        <v>286</v>
      </c>
      <c r="C37" s="130">
        <f>(C36/B36)^(1/(C$5-B$5))-1</f>
        <v>1.9868213201961638E-2</v>
      </c>
      <c r="D37" s="130">
        <f t="shared" ref="D37:J37" si="31">(D36/C36)^(1/(D$5-C$5))-1</f>
        <v>3.3112892453091014E-4</v>
      </c>
      <c r="E37" s="130">
        <f t="shared" si="31"/>
        <v>2.4168801485542346E-3</v>
      </c>
      <c r="F37" s="130">
        <f t="shared" si="31"/>
        <v>-2.9816236928037476E-4</v>
      </c>
      <c r="G37" s="130">
        <f t="shared" si="31"/>
        <v>-1.8257859796793063E-3</v>
      </c>
      <c r="H37" s="130">
        <f t="shared" si="31"/>
        <v>2.1037457272545801E-3</v>
      </c>
      <c r="I37" s="130">
        <f t="shared" si="31"/>
        <v>1.2140145799883761E-3</v>
      </c>
      <c r="J37" s="130">
        <f t="shared" si="31"/>
        <v>1.80043451814349E-3</v>
      </c>
      <c r="K37" s="130"/>
    </row>
    <row r="39" spans="1:41" s="4" customFormat="1"/>
    <row r="40" spans="1:41" s="4" customFormat="1"/>
    <row r="41" spans="1:41" s="4" customFormat="1"/>
    <row r="42" spans="1:41" s="4" customFormat="1">
      <c r="C42" s="4">
        <v>2012</v>
      </c>
      <c r="D42" s="4">
        <f>1+C42</f>
        <v>2013</v>
      </c>
      <c r="E42" s="4">
        <f t="shared" ref="E42:AE42" si="32">1+D42</f>
        <v>2014</v>
      </c>
      <c r="F42" s="4">
        <f t="shared" si="32"/>
        <v>2015</v>
      </c>
      <c r="G42" s="4">
        <f t="shared" si="32"/>
        <v>2016</v>
      </c>
      <c r="H42" s="4">
        <f t="shared" si="32"/>
        <v>2017</v>
      </c>
      <c r="I42" s="4">
        <f t="shared" si="32"/>
        <v>2018</v>
      </c>
      <c r="J42" s="4">
        <f t="shared" si="32"/>
        <v>2019</v>
      </c>
      <c r="K42" s="4">
        <f t="shared" si="32"/>
        <v>2020</v>
      </c>
      <c r="L42" s="4">
        <f t="shared" si="32"/>
        <v>2021</v>
      </c>
      <c r="M42" s="4">
        <f t="shared" si="32"/>
        <v>2022</v>
      </c>
      <c r="N42" s="4">
        <f t="shared" si="32"/>
        <v>2023</v>
      </c>
      <c r="O42" s="4">
        <f t="shared" si="32"/>
        <v>2024</v>
      </c>
      <c r="P42" s="4">
        <f t="shared" si="32"/>
        <v>2025</v>
      </c>
      <c r="Q42" s="4">
        <f t="shared" si="32"/>
        <v>2026</v>
      </c>
      <c r="R42" s="4">
        <f t="shared" si="32"/>
        <v>2027</v>
      </c>
      <c r="S42" s="4">
        <f t="shared" si="32"/>
        <v>2028</v>
      </c>
      <c r="T42" s="4">
        <f t="shared" si="32"/>
        <v>2029</v>
      </c>
      <c r="U42" s="4">
        <f t="shared" si="32"/>
        <v>2030</v>
      </c>
      <c r="V42" s="4">
        <f t="shared" si="32"/>
        <v>2031</v>
      </c>
      <c r="W42" s="4">
        <f t="shared" si="32"/>
        <v>2032</v>
      </c>
      <c r="X42" s="4">
        <f t="shared" si="32"/>
        <v>2033</v>
      </c>
      <c r="Y42" s="4">
        <f t="shared" si="32"/>
        <v>2034</v>
      </c>
      <c r="Z42" s="4">
        <f t="shared" si="32"/>
        <v>2035</v>
      </c>
      <c r="AA42" s="4">
        <f t="shared" si="32"/>
        <v>2036</v>
      </c>
      <c r="AB42" s="4">
        <f t="shared" si="32"/>
        <v>2037</v>
      </c>
      <c r="AC42" s="4">
        <f t="shared" si="32"/>
        <v>2038</v>
      </c>
      <c r="AD42" s="4">
        <f t="shared" si="32"/>
        <v>2039</v>
      </c>
      <c r="AE42" s="4">
        <f t="shared" si="32"/>
        <v>2040</v>
      </c>
      <c r="AF42" s="4">
        <v>2045</v>
      </c>
      <c r="AG42" s="4">
        <v>2050</v>
      </c>
      <c r="AN42" s="5"/>
    </row>
    <row r="43" spans="1:41">
      <c r="C43">
        <v>0</v>
      </c>
      <c r="D43">
        <f>C43+1</f>
        <v>1</v>
      </c>
      <c r="E43" s="4">
        <f t="shared" ref="E43:AG43" si="33">D43+1</f>
        <v>2</v>
      </c>
      <c r="F43" s="4">
        <f t="shared" si="33"/>
        <v>3</v>
      </c>
      <c r="G43" s="4">
        <f t="shared" si="33"/>
        <v>4</v>
      </c>
      <c r="H43" s="4">
        <f t="shared" si="33"/>
        <v>5</v>
      </c>
      <c r="I43" s="4">
        <f t="shared" si="33"/>
        <v>6</v>
      </c>
      <c r="J43" s="4">
        <f t="shared" si="33"/>
        <v>7</v>
      </c>
      <c r="K43" s="4">
        <f t="shared" si="33"/>
        <v>8</v>
      </c>
      <c r="L43" s="4">
        <f t="shared" si="33"/>
        <v>9</v>
      </c>
      <c r="M43" s="4">
        <f t="shared" si="33"/>
        <v>10</v>
      </c>
      <c r="N43" s="4">
        <f t="shared" si="33"/>
        <v>11</v>
      </c>
      <c r="O43" s="4">
        <f t="shared" si="33"/>
        <v>12</v>
      </c>
      <c r="P43" s="4">
        <f t="shared" si="33"/>
        <v>13</v>
      </c>
      <c r="Q43" s="4">
        <f t="shared" si="33"/>
        <v>14</v>
      </c>
      <c r="R43" s="4">
        <f t="shared" si="33"/>
        <v>15</v>
      </c>
      <c r="S43" s="4">
        <f t="shared" si="33"/>
        <v>16</v>
      </c>
      <c r="T43" s="4">
        <f t="shared" si="33"/>
        <v>17</v>
      </c>
      <c r="U43" s="4">
        <f t="shared" si="33"/>
        <v>18</v>
      </c>
      <c r="V43" s="4">
        <f t="shared" si="33"/>
        <v>19</v>
      </c>
      <c r="W43" s="4">
        <f t="shared" si="33"/>
        <v>20</v>
      </c>
      <c r="X43" s="4">
        <f t="shared" si="33"/>
        <v>21</v>
      </c>
      <c r="Y43" s="4">
        <f t="shared" si="33"/>
        <v>22</v>
      </c>
      <c r="Z43" s="4">
        <f t="shared" si="33"/>
        <v>23</v>
      </c>
      <c r="AA43" s="4">
        <f t="shared" si="33"/>
        <v>24</v>
      </c>
      <c r="AB43" s="4">
        <f t="shared" si="33"/>
        <v>25</v>
      </c>
      <c r="AC43" s="4">
        <f t="shared" si="33"/>
        <v>26</v>
      </c>
      <c r="AD43" s="4">
        <f t="shared" si="33"/>
        <v>27</v>
      </c>
      <c r="AE43" s="4">
        <f t="shared" si="33"/>
        <v>28</v>
      </c>
      <c r="AF43" s="4">
        <f t="shared" si="33"/>
        <v>29</v>
      </c>
      <c r="AG43" s="4">
        <f t="shared" si="33"/>
        <v>30</v>
      </c>
      <c r="AH43" s="4"/>
      <c r="AI43" s="4"/>
      <c r="AJ43" s="4"/>
      <c r="AK43" s="4"/>
      <c r="AL43" s="4"/>
      <c r="AM43" s="4"/>
    </row>
    <row r="44" spans="1:41">
      <c r="A44" s="160" t="str">
        <f t="shared" ref="A44:A57" si="34">A6</f>
        <v>COM</v>
      </c>
      <c r="B44" s="4">
        <v>1</v>
      </c>
      <c r="C44" s="151">
        <f t="shared" ref="C44:AG44" si="35">IF(C$80=-1,D44,IF(C$80=99,B44,IF(C$80=0,INDEX($B6:$K6,0,C$78),(INDEX($B6:$K6,0,C$80+1)-INDEX($B6:$K6,0,C$80))/(INDEX($B$5:$K$5,0,C$80+1)-INDEX($B$5:$K$5,0,C$80))+B44)))</f>
        <v>0.26490301139712186</v>
      </c>
      <c r="D44" s="151">
        <f t="shared" si="35"/>
        <v>0.27077871816909826</v>
      </c>
      <c r="E44" s="151">
        <f t="shared" si="35"/>
        <v>0.27665442494107467</v>
      </c>
      <c r="F44" s="151">
        <f t="shared" si="35"/>
        <v>0.28253013171305114</v>
      </c>
      <c r="G44" s="151">
        <f t="shared" si="35"/>
        <v>0.28603444916133403</v>
      </c>
      <c r="H44" s="151">
        <f t="shared" si="35"/>
        <v>0.28953876660961692</v>
      </c>
      <c r="I44" s="151">
        <f t="shared" si="35"/>
        <v>0.29304308405789981</v>
      </c>
      <c r="J44" s="151">
        <f t="shared" si="35"/>
        <v>0.2965474015061827</v>
      </c>
      <c r="K44" s="151">
        <f t="shared" si="35"/>
        <v>0.30005171895446547</v>
      </c>
      <c r="L44" s="151">
        <f t="shared" si="35"/>
        <v>0.30482791424272659</v>
      </c>
      <c r="M44" s="151">
        <f t="shared" si="35"/>
        <v>0.30960410953098771</v>
      </c>
      <c r="N44" s="151">
        <f t="shared" si="35"/>
        <v>0.31438030481924883</v>
      </c>
      <c r="O44" s="151">
        <f t="shared" si="35"/>
        <v>0.31915650010750996</v>
      </c>
      <c r="P44" s="151">
        <f t="shared" si="35"/>
        <v>0.32393269539577119</v>
      </c>
      <c r="Q44" s="151">
        <f t="shared" si="35"/>
        <v>0.3304190239088195</v>
      </c>
      <c r="R44" s="151">
        <f t="shared" si="35"/>
        <v>0.33690535242186781</v>
      </c>
      <c r="S44" s="151">
        <f t="shared" si="35"/>
        <v>0.34339168093491612</v>
      </c>
      <c r="T44" s="151">
        <f t="shared" si="35"/>
        <v>0.34987800944796443</v>
      </c>
      <c r="U44" s="151">
        <f t="shared" si="35"/>
        <v>0.3563643379610128</v>
      </c>
      <c r="V44" s="151">
        <f t="shared" si="35"/>
        <v>0.36381947391314756</v>
      </c>
      <c r="W44" s="151">
        <f t="shared" si="35"/>
        <v>0.37127460986528232</v>
      </c>
      <c r="X44" s="151">
        <f t="shared" si="35"/>
        <v>0.37872974581741708</v>
      </c>
      <c r="Y44" s="151">
        <f t="shared" si="35"/>
        <v>0.38618488176955185</v>
      </c>
      <c r="Z44" s="151">
        <f t="shared" si="35"/>
        <v>0.39364001772168666</v>
      </c>
      <c r="AA44" s="151">
        <f t="shared" si="35"/>
        <v>0.40211398872355136</v>
      </c>
      <c r="AB44" s="151">
        <f t="shared" si="35"/>
        <v>0.41058795972541606</v>
      </c>
      <c r="AC44" s="151">
        <f t="shared" si="35"/>
        <v>0.41906193072728076</v>
      </c>
      <c r="AD44" s="151">
        <f t="shared" si="35"/>
        <v>0.42753590172914546</v>
      </c>
      <c r="AE44" s="151">
        <f t="shared" si="35"/>
        <v>0.43600987273101027</v>
      </c>
      <c r="AF44" s="151">
        <f t="shared" si="35"/>
        <v>0.47987323347399008</v>
      </c>
      <c r="AG44" s="151">
        <f t="shared" si="35"/>
        <v>0.52412094262873499</v>
      </c>
      <c r="AH44" s="151"/>
      <c r="AI44" s="151"/>
      <c r="AJ44" s="151"/>
      <c r="AK44" s="151"/>
      <c r="AL44" s="151"/>
      <c r="AM44" s="151"/>
      <c r="AO44">
        <v>1</v>
      </c>
    </row>
    <row r="45" spans="1:41">
      <c r="A45" s="160" t="str">
        <f t="shared" si="34"/>
        <v>AGR</v>
      </c>
      <c r="B45" s="4">
        <f>B44+1</f>
        <v>2</v>
      </c>
      <c r="C45" s="151">
        <f t="shared" ref="C45:AG45" si="36">IF(C$80=-1,D45,IF(C$80=99,B45,IF(C$80=0,INDEX($B7:$K7,0,C$78),(INDEX($B7:$K7,0,C$80+1)-INDEX($B7:$K7,0,C$80))/(INDEX($B$5:$K$5,0,C$80+1)-INDEX($B$5:$K$5,0,C$80))+B45)))</f>
        <v>1.2205117273302883E-2</v>
      </c>
      <c r="D45" s="151">
        <f t="shared" si="36"/>
        <v>1.2568850455172332E-2</v>
      </c>
      <c r="E45" s="151">
        <f t="shared" si="36"/>
        <v>1.293258363704178E-2</v>
      </c>
      <c r="F45" s="151">
        <f t="shared" si="36"/>
        <v>1.3296316818911229E-2</v>
      </c>
      <c r="G45" s="151">
        <f t="shared" si="36"/>
        <v>1.3373469816221773E-2</v>
      </c>
      <c r="H45" s="151">
        <f t="shared" si="36"/>
        <v>1.3450622813532317E-2</v>
      </c>
      <c r="I45" s="151">
        <f t="shared" si="36"/>
        <v>1.352777581084286E-2</v>
      </c>
      <c r="J45" s="151">
        <f t="shared" si="36"/>
        <v>1.3604928808153404E-2</v>
      </c>
      <c r="K45" s="151">
        <f t="shared" si="36"/>
        <v>1.3682081805463944E-2</v>
      </c>
      <c r="L45" s="151">
        <f t="shared" si="36"/>
        <v>1.3937376141827261E-2</v>
      </c>
      <c r="M45" s="151">
        <f t="shared" si="36"/>
        <v>1.4192670478190578E-2</v>
      </c>
      <c r="N45" s="151">
        <f t="shared" si="36"/>
        <v>1.4447964814553895E-2</v>
      </c>
      <c r="O45" s="151">
        <f t="shared" si="36"/>
        <v>1.4703259150917213E-2</v>
      </c>
      <c r="P45" s="151">
        <f t="shared" si="36"/>
        <v>1.495855348728053E-2</v>
      </c>
      <c r="Q45" s="151">
        <f t="shared" si="36"/>
        <v>1.5296246410420824E-2</v>
      </c>
      <c r="R45" s="151">
        <f t="shared" si="36"/>
        <v>1.5633939333561119E-2</v>
      </c>
      <c r="S45" s="151">
        <f t="shared" si="36"/>
        <v>1.5971632256701413E-2</v>
      </c>
      <c r="T45" s="151">
        <f t="shared" si="36"/>
        <v>1.6309325179841707E-2</v>
      </c>
      <c r="U45" s="151">
        <f t="shared" si="36"/>
        <v>1.6647018102982001E-2</v>
      </c>
      <c r="V45" s="151">
        <f t="shared" si="36"/>
        <v>1.692062381592491E-2</v>
      </c>
      <c r="W45" s="151">
        <f t="shared" si="36"/>
        <v>1.7194229528867819E-2</v>
      </c>
      <c r="X45" s="151">
        <f t="shared" si="36"/>
        <v>1.7467835241810729E-2</v>
      </c>
      <c r="Y45" s="151">
        <f t="shared" si="36"/>
        <v>1.7741440954753638E-2</v>
      </c>
      <c r="Z45" s="151">
        <f t="shared" si="36"/>
        <v>1.8015046667696547E-2</v>
      </c>
      <c r="AA45" s="151">
        <f t="shared" si="36"/>
        <v>1.8341310858522541E-2</v>
      </c>
      <c r="AB45" s="151">
        <f t="shared" si="36"/>
        <v>1.8667575049348534E-2</v>
      </c>
      <c r="AC45" s="151">
        <f t="shared" si="36"/>
        <v>1.8993839240174528E-2</v>
      </c>
      <c r="AD45" s="151">
        <f t="shared" si="36"/>
        <v>1.9320103431000522E-2</v>
      </c>
      <c r="AE45" s="151">
        <f t="shared" si="36"/>
        <v>1.9646367621826522E-2</v>
      </c>
      <c r="AF45" s="151">
        <f t="shared" si="36"/>
        <v>2.1134076660880814E-2</v>
      </c>
      <c r="AG45" s="151">
        <f t="shared" si="36"/>
        <v>2.2743958258456747E-2</v>
      </c>
      <c r="AH45" s="151"/>
      <c r="AI45" s="151"/>
      <c r="AJ45" s="151"/>
      <c r="AK45" s="151"/>
      <c r="AL45" s="151"/>
      <c r="AM45" s="151"/>
      <c r="AO45">
        <f>AO44+1</f>
        <v>2</v>
      </c>
    </row>
    <row r="46" spans="1:41">
      <c r="A46" s="160" t="str">
        <f t="shared" si="34"/>
        <v>mi</v>
      </c>
      <c r="B46" s="227">
        <f t="shared" ref="B46:B61" si="37">B45+1</f>
        <v>3</v>
      </c>
      <c r="C46" s="151">
        <f t="shared" ref="C46:AG46" si="38">IF(C$80=-1,D46,IF(C$80=99,B46,IF(C$80=0,INDEX($B8:$K8,0,C$78),(INDEX($B8:$K8,0,C$80+1)-INDEX($B8:$K8,0,C$80))/(INDEX($B$5:$K$5,0,C$80+1)-INDEX($B$5:$K$5,0,C$80))+B46)))</f>
        <v>3.0070957798834522E-2</v>
      </c>
      <c r="D46" s="151">
        <f t="shared" si="38"/>
        <v>3.0461828827325194E-2</v>
      </c>
      <c r="E46" s="151">
        <f t="shared" si="38"/>
        <v>3.0852699855815867E-2</v>
      </c>
      <c r="F46" s="151">
        <f t="shared" si="38"/>
        <v>3.1243570884306543E-2</v>
      </c>
      <c r="G46" s="151">
        <f t="shared" si="38"/>
        <v>3.1250850536416359E-2</v>
      </c>
      <c r="H46" s="151">
        <f t="shared" si="38"/>
        <v>3.1258130188526176E-2</v>
      </c>
      <c r="I46" s="151">
        <f t="shared" si="38"/>
        <v>3.1265409840635992E-2</v>
      </c>
      <c r="J46" s="151">
        <f t="shared" si="38"/>
        <v>3.1272689492745809E-2</v>
      </c>
      <c r="K46" s="151">
        <f t="shared" si="38"/>
        <v>3.1279969144855632E-2</v>
      </c>
      <c r="L46" s="151">
        <f t="shared" si="38"/>
        <v>3.1637160053829182E-2</v>
      </c>
      <c r="M46" s="151">
        <f t="shared" si="38"/>
        <v>3.1994350962802731E-2</v>
      </c>
      <c r="N46" s="151">
        <f t="shared" si="38"/>
        <v>3.2351541871776281E-2</v>
      </c>
      <c r="O46" s="151">
        <f t="shared" si="38"/>
        <v>3.270873278074983E-2</v>
      </c>
      <c r="P46" s="151">
        <f t="shared" si="38"/>
        <v>3.3065923689723394E-2</v>
      </c>
      <c r="Q46" s="151">
        <f t="shared" si="38"/>
        <v>3.3723452032469951E-2</v>
      </c>
      <c r="R46" s="151">
        <f t="shared" si="38"/>
        <v>3.4380980375216509E-2</v>
      </c>
      <c r="S46" s="151">
        <f t="shared" si="38"/>
        <v>3.5038508717963067E-2</v>
      </c>
      <c r="T46" s="151">
        <f t="shared" si="38"/>
        <v>3.5696037060709625E-2</v>
      </c>
      <c r="U46" s="151">
        <f t="shared" si="38"/>
        <v>3.6353565403456183E-2</v>
      </c>
      <c r="V46" s="151">
        <f t="shared" si="38"/>
        <v>3.7101967918952046E-2</v>
      </c>
      <c r="W46" s="151">
        <f t="shared" si="38"/>
        <v>3.7850370434447909E-2</v>
      </c>
      <c r="X46" s="151">
        <f t="shared" si="38"/>
        <v>3.8598772949943773E-2</v>
      </c>
      <c r="Y46" s="151">
        <f t="shared" si="38"/>
        <v>3.9347175465439636E-2</v>
      </c>
      <c r="Z46" s="151">
        <f t="shared" si="38"/>
        <v>4.0095577980935493E-2</v>
      </c>
      <c r="AA46" s="151">
        <f t="shared" si="38"/>
        <v>4.0991057666264367E-2</v>
      </c>
      <c r="AB46" s="151">
        <f t="shared" si="38"/>
        <v>4.1886537351593242E-2</v>
      </c>
      <c r="AC46" s="151">
        <f t="shared" si="38"/>
        <v>4.2782017036922117E-2</v>
      </c>
      <c r="AD46" s="151">
        <f t="shared" si="38"/>
        <v>4.3677496722250991E-2</v>
      </c>
      <c r="AE46" s="151">
        <f t="shared" si="38"/>
        <v>4.4572976407579859E-2</v>
      </c>
      <c r="AF46" s="151">
        <f t="shared" si="38"/>
        <v>4.8664525304964311E-2</v>
      </c>
      <c r="AG46" s="151">
        <f t="shared" si="38"/>
        <v>5.2591495766300678E-2</v>
      </c>
      <c r="AH46" s="151"/>
      <c r="AI46" s="151"/>
      <c r="AJ46" s="151"/>
      <c r="AK46" s="151"/>
      <c r="AL46" s="151"/>
      <c r="AM46" s="151"/>
      <c r="AO46" s="4">
        <f t="shared" ref="AO46:AO59" si="39">AO45+1</f>
        <v>3</v>
      </c>
    </row>
    <row r="47" spans="1:41">
      <c r="A47" s="160" t="str">
        <f t="shared" si="34"/>
        <v>fb</v>
      </c>
      <c r="B47" s="227">
        <f t="shared" si="37"/>
        <v>4</v>
      </c>
      <c r="C47" s="151">
        <f t="shared" ref="C47:AG47" si="40">IF(C$80=-1,D47,IF(C$80=99,B47,IF(C$80=0,INDEX($B9:$K9,0,C$78),(INDEX($B9:$K9,0,C$80+1)-INDEX($B9:$K9,0,C$80))/(INDEX($B$5:$K$5,0,C$80+1)-INDEX($B$5:$K$5,0,C$80))+B47)))</f>
        <v>2.3649162688522865E-2</v>
      </c>
      <c r="D47" s="151">
        <f t="shared" si="40"/>
        <v>2.4286792374552422E-2</v>
      </c>
      <c r="E47" s="151">
        <f t="shared" si="40"/>
        <v>2.4924422060581979E-2</v>
      </c>
      <c r="F47" s="151">
        <f t="shared" si="40"/>
        <v>2.5562051746611535E-2</v>
      </c>
      <c r="G47" s="151">
        <f t="shared" si="40"/>
        <v>2.5865556025002713E-2</v>
      </c>
      <c r="H47" s="151">
        <f t="shared" si="40"/>
        <v>2.6169060303393891E-2</v>
      </c>
      <c r="I47" s="151">
        <f t="shared" si="40"/>
        <v>2.6472564581785069E-2</v>
      </c>
      <c r="J47" s="151">
        <f t="shared" si="40"/>
        <v>2.6776068860176246E-2</v>
      </c>
      <c r="K47" s="151">
        <f t="shared" si="40"/>
        <v>2.7079573138567424E-2</v>
      </c>
      <c r="L47" s="151">
        <f t="shared" si="40"/>
        <v>2.7571720583402348E-2</v>
      </c>
      <c r="M47" s="151">
        <f t="shared" si="40"/>
        <v>2.8063868028237272E-2</v>
      </c>
      <c r="N47" s="151">
        <f t="shared" si="40"/>
        <v>2.8556015473072197E-2</v>
      </c>
      <c r="O47" s="151">
        <f t="shared" si="40"/>
        <v>2.9048162917907121E-2</v>
      </c>
      <c r="P47" s="151">
        <f t="shared" si="40"/>
        <v>2.9540310362742038E-2</v>
      </c>
      <c r="Q47" s="151">
        <f t="shared" si="40"/>
        <v>3.0214986429456824E-2</v>
      </c>
      <c r="R47" s="151">
        <f t="shared" si="40"/>
        <v>3.0889662496171609E-2</v>
      </c>
      <c r="S47" s="151">
        <f t="shared" si="40"/>
        <v>3.1564338562886395E-2</v>
      </c>
      <c r="T47" s="151">
        <f t="shared" si="40"/>
        <v>3.223901462960118E-2</v>
      </c>
      <c r="U47" s="151">
        <f t="shared" si="40"/>
        <v>3.2913690696315959E-2</v>
      </c>
      <c r="V47" s="151">
        <f t="shared" si="40"/>
        <v>3.3491306975615892E-2</v>
      </c>
      <c r="W47" s="151">
        <f t="shared" si="40"/>
        <v>3.4068923254915826E-2</v>
      </c>
      <c r="X47" s="151">
        <f t="shared" si="40"/>
        <v>3.4646539534215759E-2</v>
      </c>
      <c r="Y47" s="151">
        <f t="shared" si="40"/>
        <v>3.5224155813515692E-2</v>
      </c>
      <c r="Z47" s="151">
        <f t="shared" si="40"/>
        <v>3.5801772092815626E-2</v>
      </c>
      <c r="AA47" s="151">
        <f t="shared" si="40"/>
        <v>3.6473231371891734E-2</v>
      </c>
      <c r="AB47" s="151">
        <f t="shared" si="40"/>
        <v>3.7144690650967843E-2</v>
      </c>
      <c r="AC47" s="151">
        <f t="shared" si="40"/>
        <v>3.7816149930043952E-2</v>
      </c>
      <c r="AD47" s="151">
        <f t="shared" si="40"/>
        <v>3.8487609209120061E-2</v>
      </c>
      <c r="AE47" s="151">
        <f t="shared" si="40"/>
        <v>3.9159068488196169E-2</v>
      </c>
      <c r="AF47" s="151">
        <f t="shared" si="40"/>
        <v>4.2085583839286761E-2</v>
      </c>
      <c r="AG47" s="151">
        <f t="shared" si="40"/>
        <v>4.520492772261063E-2</v>
      </c>
      <c r="AH47" s="151"/>
      <c r="AI47" s="151"/>
      <c r="AJ47" s="151"/>
      <c r="AK47" s="151"/>
      <c r="AL47" s="151"/>
      <c r="AM47" s="151"/>
      <c r="AO47" s="4">
        <f t="shared" si="39"/>
        <v>4</v>
      </c>
    </row>
    <row r="48" spans="1:41">
      <c r="A48" s="160" t="str">
        <f t="shared" si="34"/>
        <v>ot</v>
      </c>
      <c r="B48" s="227">
        <f t="shared" si="37"/>
        <v>5</v>
      </c>
      <c r="C48" s="151">
        <f t="shared" ref="C48:AG48" si="41">IF(C$80=-1,D48,IF(C$80=99,B48,IF(C$80=0,INDEX($B10:$K10,0,C$78),(INDEX($B10:$K10,0,C$80+1)-INDEX($B10:$K10,0,C$80))/(INDEX($B$5:$K$5,0,C$80+1)-INDEX($B$5:$K$5,0,C$80))+B48)))</f>
        <v>7.334621058350009E-2</v>
      </c>
      <c r="D48" s="151">
        <f t="shared" si="41"/>
        <v>7.446925745745217E-2</v>
      </c>
      <c r="E48" s="151">
        <f t="shared" si="41"/>
        <v>7.559230433140425E-2</v>
      </c>
      <c r="F48" s="151">
        <f t="shared" si="41"/>
        <v>7.6715351205356344E-2</v>
      </c>
      <c r="G48" s="151">
        <f t="shared" si="41"/>
        <v>7.7250127457606038E-2</v>
      </c>
      <c r="H48" s="151">
        <f t="shared" si="41"/>
        <v>7.7784903709855732E-2</v>
      </c>
      <c r="I48" s="151">
        <f t="shared" si="41"/>
        <v>7.8319679962105426E-2</v>
      </c>
      <c r="J48" s="151">
        <f t="shared" si="41"/>
        <v>7.885445621435512E-2</v>
      </c>
      <c r="K48" s="151">
        <f t="shared" si="41"/>
        <v>7.9389232466604828E-2</v>
      </c>
      <c r="L48" s="151">
        <f t="shared" si="41"/>
        <v>8.1048183437931687E-2</v>
      </c>
      <c r="M48" s="151">
        <f t="shared" si="41"/>
        <v>8.2707134409258545E-2</v>
      </c>
      <c r="N48" s="151">
        <f t="shared" si="41"/>
        <v>8.4366085380585404E-2</v>
      </c>
      <c r="O48" s="151">
        <f t="shared" si="41"/>
        <v>8.6025036351912262E-2</v>
      </c>
      <c r="P48" s="151">
        <f t="shared" si="41"/>
        <v>8.7683987323239093E-2</v>
      </c>
      <c r="Q48" s="151">
        <f t="shared" si="41"/>
        <v>8.995181812645249E-2</v>
      </c>
      <c r="R48" s="151">
        <f t="shared" si="41"/>
        <v>9.2219648929665887E-2</v>
      </c>
      <c r="S48" s="151">
        <f t="shared" si="41"/>
        <v>9.4487479732879284E-2</v>
      </c>
      <c r="T48" s="151">
        <f t="shared" si="41"/>
        <v>9.6755310536092681E-2</v>
      </c>
      <c r="U48" s="151">
        <f t="shared" si="41"/>
        <v>9.9023141339306106E-2</v>
      </c>
      <c r="V48" s="151">
        <f t="shared" si="41"/>
        <v>0.10145988699744091</v>
      </c>
      <c r="W48" s="151">
        <f t="shared" si="41"/>
        <v>0.10389663265557571</v>
      </c>
      <c r="X48" s="151">
        <f t="shared" si="41"/>
        <v>0.10633337831371051</v>
      </c>
      <c r="Y48" s="151">
        <f t="shared" si="41"/>
        <v>0.10877012397184531</v>
      </c>
      <c r="Z48" s="151">
        <f t="shared" si="41"/>
        <v>0.11120686962998012</v>
      </c>
      <c r="AA48" s="151">
        <f t="shared" si="41"/>
        <v>0.11397428670822626</v>
      </c>
      <c r="AB48" s="151">
        <f t="shared" si="41"/>
        <v>0.1167417037864724</v>
      </c>
      <c r="AC48" s="151">
        <f t="shared" si="41"/>
        <v>0.11950912086471854</v>
      </c>
      <c r="AD48" s="151">
        <f t="shared" si="41"/>
        <v>0.12227653794296468</v>
      </c>
      <c r="AE48" s="151">
        <f t="shared" si="41"/>
        <v>0.1250439550212108</v>
      </c>
      <c r="AF48" s="151">
        <f t="shared" si="41"/>
        <v>0.13904673471519646</v>
      </c>
      <c r="AG48" s="151">
        <f t="shared" si="41"/>
        <v>0.15377415548370874</v>
      </c>
      <c r="AH48" s="151"/>
      <c r="AI48" s="151"/>
      <c r="AJ48" s="151"/>
      <c r="AK48" s="151"/>
      <c r="AL48" s="151"/>
      <c r="AM48" s="151"/>
      <c r="AO48" s="4">
        <f t="shared" si="39"/>
        <v>5</v>
      </c>
    </row>
    <row r="49" spans="1:41">
      <c r="A49" s="160" t="str">
        <f t="shared" si="34"/>
        <v>pp</v>
      </c>
      <c r="B49" s="227">
        <f t="shared" si="37"/>
        <v>6</v>
      </c>
      <c r="C49" s="151">
        <f t="shared" ref="C49:AG49" si="42">IF(C$80=-1,D49,IF(C$80=99,B49,IF(C$80=0,INDEX($B11:$K11,0,C$78),(INDEX($B11:$K11,0,C$80+1)-INDEX($B11:$K11,0,C$80))/(INDEX($B$5:$K$5,0,C$80+1)-INDEX($B$5:$K$5,0,C$80))+B49)))</f>
        <v>5.0815214594333641E-3</v>
      </c>
      <c r="D49" s="151">
        <f t="shared" si="42"/>
        <v>5.2017821640521775E-3</v>
      </c>
      <c r="E49" s="151">
        <f t="shared" si="42"/>
        <v>5.322042868670991E-3</v>
      </c>
      <c r="F49" s="151">
        <f t="shared" si="42"/>
        <v>5.4423035732898044E-3</v>
      </c>
      <c r="G49" s="151">
        <f t="shared" si="42"/>
        <v>5.5011338202642854E-3</v>
      </c>
      <c r="H49" s="151">
        <f t="shared" si="42"/>
        <v>5.5599640672387663E-3</v>
      </c>
      <c r="I49" s="151">
        <f t="shared" si="42"/>
        <v>5.6187943142132473E-3</v>
      </c>
      <c r="J49" s="151">
        <f t="shared" si="42"/>
        <v>5.6776245611877283E-3</v>
      </c>
      <c r="K49" s="151">
        <f t="shared" si="42"/>
        <v>5.7364548081622075E-3</v>
      </c>
      <c r="L49" s="151">
        <f t="shared" si="42"/>
        <v>5.8578156188434103E-3</v>
      </c>
      <c r="M49" s="151">
        <f t="shared" si="42"/>
        <v>5.979176429524613E-3</v>
      </c>
      <c r="N49" s="151">
        <f t="shared" si="42"/>
        <v>6.1005372402058158E-3</v>
      </c>
      <c r="O49" s="151">
        <f t="shared" si="42"/>
        <v>6.2218980508870186E-3</v>
      </c>
      <c r="P49" s="151">
        <f t="shared" si="42"/>
        <v>6.3432588615682196E-3</v>
      </c>
      <c r="Q49" s="151">
        <f t="shared" si="42"/>
        <v>6.4981040657256534E-3</v>
      </c>
      <c r="R49" s="151">
        <f t="shared" si="42"/>
        <v>6.6529492698830872E-3</v>
      </c>
      <c r="S49" s="151">
        <f t="shared" si="42"/>
        <v>6.8077944740405211E-3</v>
      </c>
      <c r="T49" s="151">
        <f t="shared" si="42"/>
        <v>6.9626396781979549E-3</v>
      </c>
      <c r="U49" s="151">
        <f t="shared" si="42"/>
        <v>7.1174848823553887E-3</v>
      </c>
      <c r="V49" s="151">
        <f t="shared" si="42"/>
        <v>7.2629391302141142E-3</v>
      </c>
      <c r="W49" s="151">
        <f t="shared" si="42"/>
        <v>7.4083933780728396E-3</v>
      </c>
      <c r="X49" s="151">
        <f t="shared" si="42"/>
        <v>7.5538476259315651E-3</v>
      </c>
      <c r="Y49" s="151">
        <f t="shared" si="42"/>
        <v>7.6993018737902905E-3</v>
      </c>
      <c r="Z49" s="151">
        <f t="shared" si="42"/>
        <v>7.8447561216490151E-3</v>
      </c>
      <c r="AA49" s="151">
        <f t="shared" si="42"/>
        <v>8.0220801250482782E-3</v>
      </c>
      <c r="AB49" s="151">
        <f t="shared" si="42"/>
        <v>8.1994041284475412E-3</v>
      </c>
      <c r="AC49" s="151">
        <f t="shared" si="42"/>
        <v>8.3767281318468043E-3</v>
      </c>
      <c r="AD49" s="151">
        <f t="shared" si="42"/>
        <v>8.5540521352460673E-3</v>
      </c>
      <c r="AE49" s="151">
        <f t="shared" si="42"/>
        <v>8.7313761386453321E-3</v>
      </c>
      <c r="AF49" s="151">
        <f t="shared" si="42"/>
        <v>9.5929617196507527E-3</v>
      </c>
      <c r="AG49" s="151">
        <f t="shared" si="42"/>
        <v>1.0501756161938675E-2</v>
      </c>
      <c r="AH49" s="151"/>
      <c r="AI49" s="151"/>
      <c r="AJ49" s="151"/>
      <c r="AK49" s="151"/>
      <c r="AL49" s="151"/>
      <c r="AM49" s="151"/>
      <c r="AO49" s="4">
        <f t="shared" si="39"/>
        <v>6</v>
      </c>
    </row>
    <row r="50" spans="1:41">
      <c r="A50" s="160" t="str">
        <f t="shared" si="34"/>
        <v>cp</v>
      </c>
      <c r="B50" s="227">
        <f t="shared" si="37"/>
        <v>7</v>
      </c>
      <c r="C50" s="151">
        <f t="shared" ref="C50:AG50" si="43">IF(C$80=-1,D50,IF(C$80=99,B50,IF(C$80=0,INDEX($B12:$K12,0,C$78),(INDEX($B12:$K12,0,C$80+1)-INDEX($B12:$K12,0,C$80))/(INDEX($B$5:$K$5,0,C$80+1)-INDEX($B$5:$K$5,0,C$80))+B50)))</f>
        <v>1.989786536070515E-2</v>
      </c>
      <c r="D50" s="151">
        <f t="shared" si="43"/>
        <v>2.0289913680205673E-2</v>
      </c>
      <c r="E50" s="151">
        <f t="shared" si="43"/>
        <v>2.0681961999706195E-2</v>
      </c>
      <c r="F50" s="151">
        <f t="shared" si="43"/>
        <v>2.1074010319206717E-2</v>
      </c>
      <c r="G50" s="151">
        <f t="shared" si="43"/>
        <v>2.1152227914162686E-2</v>
      </c>
      <c r="H50" s="151">
        <f t="shared" si="43"/>
        <v>2.1230445509118654E-2</v>
      </c>
      <c r="I50" s="151">
        <f t="shared" si="43"/>
        <v>2.1308663104074622E-2</v>
      </c>
      <c r="J50" s="151">
        <f t="shared" si="43"/>
        <v>2.1386880699030591E-2</v>
      </c>
      <c r="K50" s="151">
        <f t="shared" si="43"/>
        <v>2.1465098293986566E-2</v>
      </c>
      <c r="L50" s="151">
        <f t="shared" si="43"/>
        <v>2.1844223065188427E-2</v>
      </c>
      <c r="M50" s="151">
        <f t="shared" si="43"/>
        <v>2.2223347836390288E-2</v>
      </c>
      <c r="N50" s="151">
        <f t="shared" si="43"/>
        <v>2.2602472607592149E-2</v>
      </c>
      <c r="O50" s="151">
        <f t="shared" si="43"/>
        <v>2.2981597378794009E-2</v>
      </c>
      <c r="P50" s="151">
        <f t="shared" si="43"/>
        <v>2.3360722149995867E-2</v>
      </c>
      <c r="Q50" s="151">
        <f t="shared" si="43"/>
        <v>2.3934139251007285E-2</v>
      </c>
      <c r="R50" s="151">
        <f t="shared" si="43"/>
        <v>2.4507556352018702E-2</v>
      </c>
      <c r="S50" s="151">
        <f t="shared" si="43"/>
        <v>2.508097345303012E-2</v>
      </c>
      <c r="T50" s="151">
        <f t="shared" si="43"/>
        <v>2.5654390554041537E-2</v>
      </c>
      <c r="U50" s="151">
        <f t="shared" si="43"/>
        <v>2.6227807655052959E-2</v>
      </c>
      <c r="V50" s="151">
        <f t="shared" si="43"/>
        <v>2.6877910935000519E-2</v>
      </c>
      <c r="W50" s="151">
        <f t="shared" si="43"/>
        <v>2.752801421494808E-2</v>
      </c>
      <c r="X50" s="151">
        <f t="shared" si="43"/>
        <v>2.8178117494895641E-2</v>
      </c>
      <c r="Y50" s="151">
        <f t="shared" si="43"/>
        <v>2.8828220774843202E-2</v>
      </c>
      <c r="Z50" s="151">
        <f t="shared" si="43"/>
        <v>2.9478324054790762E-2</v>
      </c>
      <c r="AA50" s="151">
        <f t="shared" si="43"/>
        <v>3.021313706878348E-2</v>
      </c>
      <c r="AB50" s="151">
        <f t="shared" si="43"/>
        <v>3.0947950082776197E-2</v>
      </c>
      <c r="AC50" s="151">
        <f t="shared" si="43"/>
        <v>3.1682763096768915E-2</v>
      </c>
      <c r="AD50" s="151">
        <f t="shared" si="43"/>
        <v>3.2417576110761633E-2</v>
      </c>
      <c r="AE50" s="151">
        <f t="shared" si="43"/>
        <v>3.3152389124754343E-2</v>
      </c>
      <c r="AF50" s="151">
        <f t="shared" si="43"/>
        <v>3.6624309652768819E-2</v>
      </c>
      <c r="AG50" s="151">
        <f t="shared" si="43"/>
        <v>4.0081265547416464E-2</v>
      </c>
      <c r="AH50" s="151"/>
      <c r="AI50" s="151"/>
      <c r="AJ50" s="151"/>
      <c r="AK50" s="151"/>
      <c r="AL50" s="151"/>
      <c r="AM50" s="151"/>
      <c r="AO50" s="4">
        <f t="shared" si="39"/>
        <v>7</v>
      </c>
    </row>
    <row r="51" spans="1:41">
      <c r="A51" s="160" t="str">
        <f t="shared" si="34"/>
        <v>nm</v>
      </c>
      <c r="B51" s="227">
        <f t="shared" si="37"/>
        <v>8</v>
      </c>
      <c r="C51" s="151">
        <f t="shared" ref="C51:AG51" si="44">IF(C$80=-1,D51,IF(C$80=99,B51,IF(C$80=0,INDEX($B13:$K13,0,C$78),(INDEX($B13:$K13,0,C$80+1)-INDEX($B13:$K13,0,C$80))/(INDEX($B$5:$K$5,0,C$80+1)-INDEX($B$5:$K$5,0,C$80))+B51)))</f>
        <v>3.7405964801274436E-3</v>
      </c>
      <c r="D51" s="151">
        <f t="shared" si="44"/>
        <v>3.809003306154132E-3</v>
      </c>
      <c r="E51" s="151">
        <f t="shared" si="44"/>
        <v>3.8774101321808205E-3</v>
      </c>
      <c r="F51" s="151">
        <f t="shared" si="44"/>
        <v>3.9458169582075086E-3</v>
      </c>
      <c r="G51" s="151">
        <f t="shared" si="44"/>
        <v>3.981238634573914E-3</v>
      </c>
      <c r="H51" s="151">
        <f t="shared" si="44"/>
        <v>4.0166603109403195E-3</v>
      </c>
      <c r="I51" s="151">
        <f t="shared" si="44"/>
        <v>4.052081987306725E-3</v>
      </c>
      <c r="J51" s="151">
        <f t="shared" si="44"/>
        <v>4.0875036636731305E-3</v>
      </c>
      <c r="K51" s="151">
        <f t="shared" si="44"/>
        <v>4.1229253400395368E-3</v>
      </c>
      <c r="L51" s="151">
        <f t="shared" si="44"/>
        <v>4.2101525304990466E-3</v>
      </c>
      <c r="M51" s="151">
        <f t="shared" si="44"/>
        <v>4.2973797209585564E-3</v>
      </c>
      <c r="N51" s="151">
        <f t="shared" si="44"/>
        <v>4.3846069114180661E-3</v>
      </c>
      <c r="O51" s="151">
        <f t="shared" si="44"/>
        <v>4.4718341018775759E-3</v>
      </c>
      <c r="P51" s="151">
        <f t="shared" si="44"/>
        <v>4.5590612923370874E-3</v>
      </c>
      <c r="Q51" s="151">
        <f t="shared" si="44"/>
        <v>4.6752237884489572E-3</v>
      </c>
      <c r="R51" s="151">
        <f t="shared" si="44"/>
        <v>4.7913862845608271E-3</v>
      </c>
      <c r="S51" s="151">
        <f t="shared" si="44"/>
        <v>4.9075487806726969E-3</v>
      </c>
      <c r="T51" s="151">
        <f t="shared" si="44"/>
        <v>5.0237112767845668E-3</v>
      </c>
      <c r="U51" s="151">
        <f t="shared" si="44"/>
        <v>5.1398737728964384E-3</v>
      </c>
      <c r="V51" s="151">
        <f t="shared" si="44"/>
        <v>5.2648569816381077E-3</v>
      </c>
      <c r="W51" s="151">
        <f t="shared" si="44"/>
        <v>5.389840190379777E-3</v>
      </c>
      <c r="X51" s="151">
        <f t="shared" si="44"/>
        <v>5.5148233991214463E-3</v>
      </c>
      <c r="Y51" s="151">
        <f t="shared" si="44"/>
        <v>5.6398066078631156E-3</v>
      </c>
      <c r="Z51" s="151">
        <f t="shared" si="44"/>
        <v>5.7647898166047857E-3</v>
      </c>
      <c r="AA51" s="151">
        <f t="shared" si="44"/>
        <v>5.9047338091959365E-3</v>
      </c>
      <c r="AB51" s="151">
        <f t="shared" si="44"/>
        <v>6.0446778017870873E-3</v>
      </c>
      <c r="AC51" s="151">
        <f t="shared" si="44"/>
        <v>6.1846217943782381E-3</v>
      </c>
      <c r="AD51" s="151">
        <f t="shared" si="44"/>
        <v>6.3245657869693888E-3</v>
      </c>
      <c r="AE51" s="151">
        <f t="shared" si="44"/>
        <v>6.4645097795605387E-3</v>
      </c>
      <c r="AF51" s="151">
        <f t="shared" si="44"/>
        <v>7.1881448337910176E-3</v>
      </c>
      <c r="AG51" s="151">
        <f t="shared" si="44"/>
        <v>7.9449803656438944E-3</v>
      </c>
      <c r="AH51" s="151"/>
      <c r="AI51" s="151"/>
      <c r="AJ51" s="151"/>
      <c r="AK51" s="151"/>
      <c r="AL51" s="151"/>
      <c r="AM51" s="151"/>
      <c r="AO51" s="4">
        <f t="shared" si="39"/>
        <v>8</v>
      </c>
    </row>
    <row r="52" spans="1:41">
      <c r="A52" s="160" t="str">
        <f t="shared" si="34"/>
        <v>is</v>
      </c>
      <c r="B52" s="227">
        <f t="shared" si="37"/>
        <v>9</v>
      </c>
      <c r="C52" s="151">
        <f t="shared" ref="C52:AG52" si="45">IF(C$80=-1,D52,IF(C$80=99,B52,IF(C$80=0,INDEX($B14:$K14,0,C$78),(INDEX($B14:$K14,0,C$80+1)-INDEX($B14:$K14,0,C$80))/(INDEX($B$5:$K$5,0,C$80+1)-INDEX($B$5:$K$5,0,C$80))+B52)))</f>
        <v>9.3942736075330446E-3</v>
      </c>
      <c r="D52" s="151">
        <f t="shared" si="45"/>
        <v>9.5543964067423322E-3</v>
      </c>
      <c r="E52" s="151">
        <f t="shared" si="45"/>
        <v>9.7145192059516199E-3</v>
      </c>
      <c r="F52" s="151">
        <f t="shared" si="45"/>
        <v>9.8746420051609076E-3</v>
      </c>
      <c r="G52" s="151">
        <f t="shared" si="45"/>
        <v>9.8649439968021956E-3</v>
      </c>
      <c r="H52" s="151">
        <f t="shared" si="45"/>
        <v>9.8552459884434836E-3</v>
      </c>
      <c r="I52" s="151">
        <f t="shared" si="45"/>
        <v>9.8455479800847717E-3</v>
      </c>
      <c r="J52" s="151">
        <f t="shared" si="45"/>
        <v>9.8358499717260597E-3</v>
      </c>
      <c r="K52" s="151">
        <f t="shared" si="45"/>
        <v>9.8261519633673477E-3</v>
      </c>
      <c r="L52" s="151">
        <f t="shared" si="45"/>
        <v>9.9711351271391854E-3</v>
      </c>
      <c r="M52" s="151">
        <f t="shared" si="45"/>
        <v>1.0116118290911023E-2</v>
      </c>
      <c r="N52" s="151">
        <f t="shared" si="45"/>
        <v>1.0261101454682861E-2</v>
      </c>
      <c r="O52" s="151">
        <f t="shared" si="45"/>
        <v>1.0406084618454698E-2</v>
      </c>
      <c r="P52" s="151">
        <f t="shared" si="45"/>
        <v>1.0551067782226538E-2</v>
      </c>
      <c r="Q52" s="151">
        <f t="shared" si="45"/>
        <v>1.0863041435245309E-2</v>
      </c>
      <c r="R52" s="151">
        <f t="shared" si="45"/>
        <v>1.117501508826408E-2</v>
      </c>
      <c r="S52" s="151">
        <f t="shared" si="45"/>
        <v>1.1486988741282851E-2</v>
      </c>
      <c r="T52" s="151">
        <f t="shared" si="45"/>
        <v>1.1798962394301622E-2</v>
      </c>
      <c r="U52" s="151">
        <f t="shared" si="45"/>
        <v>1.2110936047320397E-2</v>
      </c>
      <c r="V52" s="151">
        <f t="shared" si="45"/>
        <v>1.2330215059638713E-2</v>
      </c>
      <c r="W52" s="151">
        <f t="shared" si="45"/>
        <v>1.2549494071957028E-2</v>
      </c>
      <c r="X52" s="151">
        <f t="shared" si="45"/>
        <v>1.2768773084275344E-2</v>
      </c>
      <c r="Y52" s="151">
        <f t="shared" si="45"/>
        <v>1.298805209659366E-2</v>
      </c>
      <c r="Z52" s="151">
        <f t="shared" si="45"/>
        <v>1.3207331108911972E-2</v>
      </c>
      <c r="AA52" s="151">
        <f t="shared" si="45"/>
        <v>1.3491886134314819E-2</v>
      </c>
      <c r="AB52" s="151">
        <f t="shared" si="45"/>
        <v>1.3776441159717667E-2</v>
      </c>
      <c r="AC52" s="151">
        <f t="shared" si="45"/>
        <v>1.4060996185120514E-2</v>
      </c>
      <c r="AD52" s="151">
        <f t="shared" si="45"/>
        <v>1.4345551210523361E-2</v>
      </c>
      <c r="AE52" s="151">
        <f t="shared" si="45"/>
        <v>1.4630106235926208E-2</v>
      </c>
      <c r="AF52" s="151">
        <f t="shared" si="45"/>
        <v>1.5720226002454405E-2</v>
      </c>
      <c r="AG52" s="151">
        <f t="shared" si="45"/>
        <v>1.6976780136067543E-2</v>
      </c>
      <c r="AH52" s="151"/>
      <c r="AI52" s="151"/>
      <c r="AJ52" s="151"/>
      <c r="AK52" s="151"/>
      <c r="AL52" s="151"/>
      <c r="AM52" s="151"/>
      <c r="AO52" s="4">
        <f t="shared" si="39"/>
        <v>9</v>
      </c>
    </row>
    <row r="53" spans="1:41">
      <c r="A53" s="160" t="str">
        <f t="shared" si="34"/>
        <v>nf</v>
      </c>
      <c r="B53" s="227">
        <f t="shared" si="37"/>
        <v>10</v>
      </c>
      <c r="C53" s="151">
        <f t="shared" ref="C53:AG53" si="46">IF(C$80=-1,D53,IF(C$80=99,B53,IF(C$80=0,INDEX($B15:$K15,0,C$78),(INDEX($B15:$K15,0,C$80+1)-INDEX($B15:$K15,0,C$80))/(INDEX($B$5:$K$5,0,C$80+1)-INDEX($B$5:$K$5,0,C$80))+B53)))</f>
        <v>3.9536166617103368E-3</v>
      </c>
      <c r="D53" s="151">
        <f t="shared" si="46"/>
        <v>3.726724150551529E-3</v>
      </c>
      <c r="E53" s="151">
        <f t="shared" si="46"/>
        <v>3.4998316393927212E-3</v>
      </c>
      <c r="F53" s="151">
        <f t="shared" si="46"/>
        <v>3.272939128233913E-3</v>
      </c>
      <c r="G53" s="151">
        <f t="shared" si="46"/>
        <v>3.2338771161803232E-3</v>
      </c>
      <c r="H53" s="151">
        <f t="shared" si="46"/>
        <v>3.1948151041267334E-3</v>
      </c>
      <c r="I53" s="151">
        <f t="shared" si="46"/>
        <v>3.1557530920731437E-3</v>
      </c>
      <c r="J53" s="151">
        <f t="shared" si="46"/>
        <v>3.1166910800195539E-3</v>
      </c>
      <c r="K53" s="151">
        <f t="shared" si="46"/>
        <v>3.0776290679659633E-3</v>
      </c>
      <c r="L53" s="151">
        <f t="shared" si="46"/>
        <v>3.0532569674793552E-3</v>
      </c>
      <c r="M53" s="151">
        <f t="shared" si="46"/>
        <v>3.028884866992747E-3</v>
      </c>
      <c r="N53" s="151">
        <f t="shared" si="46"/>
        <v>3.0045127665061389E-3</v>
      </c>
      <c r="O53" s="151">
        <f t="shared" si="46"/>
        <v>2.9801406660195308E-3</v>
      </c>
      <c r="P53" s="151">
        <f t="shared" si="46"/>
        <v>2.9557685655329231E-3</v>
      </c>
      <c r="Q53" s="151">
        <f t="shared" si="46"/>
        <v>3.0918091752045727E-3</v>
      </c>
      <c r="R53" s="151">
        <f t="shared" si="46"/>
        <v>3.2278497848762223E-3</v>
      </c>
      <c r="S53" s="151">
        <f t="shared" si="46"/>
        <v>3.3638903945478718E-3</v>
      </c>
      <c r="T53" s="151">
        <f t="shared" si="46"/>
        <v>3.4999310042195214E-3</v>
      </c>
      <c r="U53" s="151">
        <f t="shared" si="46"/>
        <v>3.6359716138911714E-3</v>
      </c>
      <c r="V53" s="151">
        <f t="shared" si="46"/>
        <v>3.7187473713401597E-3</v>
      </c>
      <c r="W53" s="151">
        <f t="shared" si="46"/>
        <v>3.801523128789148E-3</v>
      </c>
      <c r="X53" s="151">
        <f t="shared" si="46"/>
        <v>3.8842988862381363E-3</v>
      </c>
      <c r="Y53" s="151">
        <f t="shared" si="46"/>
        <v>3.9670746436871246E-3</v>
      </c>
      <c r="Z53" s="151">
        <f t="shared" si="46"/>
        <v>4.049850401136112E-3</v>
      </c>
      <c r="AA53" s="151">
        <f t="shared" si="46"/>
        <v>4.1475837548706467E-3</v>
      </c>
      <c r="AB53" s="151">
        <f t="shared" si="46"/>
        <v>4.2453171086051815E-3</v>
      </c>
      <c r="AC53" s="151">
        <f t="shared" si="46"/>
        <v>4.3430504623397162E-3</v>
      </c>
      <c r="AD53" s="151">
        <f t="shared" si="46"/>
        <v>4.4407838160742509E-3</v>
      </c>
      <c r="AE53" s="151">
        <f t="shared" si="46"/>
        <v>4.5385171698087848E-3</v>
      </c>
      <c r="AF53" s="151">
        <f t="shared" si="46"/>
        <v>4.6856982918221692E-3</v>
      </c>
      <c r="AG53" s="151">
        <f t="shared" si="46"/>
        <v>4.904578405206611E-3</v>
      </c>
      <c r="AH53" s="151"/>
      <c r="AI53" s="151"/>
      <c r="AJ53" s="151"/>
      <c r="AK53" s="151"/>
      <c r="AL53" s="151"/>
      <c r="AM53" s="151"/>
      <c r="AO53" s="4">
        <f t="shared" si="39"/>
        <v>10</v>
      </c>
    </row>
    <row r="54" spans="1:41">
      <c r="A54" s="160" t="str">
        <f t="shared" si="34"/>
        <v>hydr</v>
      </c>
      <c r="B54" s="227">
        <f t="shared" si="37"/>
        <v>11</v>
      </c>
      <c r="C54" s="151">
        <f t="shared" ref="C54:AG54" si="47">IF(C$80=-1,D54,IF(C$80=99,B54,IF(C$80=0,INDEX($B16:$K16,0,C$78),(INDEX($B16:$K16,0,C$80+1)-INDEX($B16:$K16,0,C$80))/(INDEX($B$5:$K$5,0,C$80+1)-INDEX($B$5:$K$5,0,C$80))+B54)))</f>
        <v>7.4844246185401282E-8</v>
      </c>
      <c r="D54" s="151">
        <f t="shared" si="47"/>
        <v>6.9437640431952347E-8</v>
      </c>
      <c r="E54" s="151">
        <f t="shared" si="47"/>
        <v>6.4031034678503411E-8</v>
      </c>
      <c r="F54" s="151">
        <f t="shared" si="47"/>
        <v>5.8624428925054489E-8</v>
      </c>
      <c r="G54" s="151">
        <f t="shared" si="47"/>
        <v>5.2253159991719892E-8</v>
      </c>
      <c r="H54" s="151">
        <f t="shared" si="47"/>
        <v>4.5881891058385295E-8</v>
      </c>
      <c r="I54" s="151">
        <f t="shared" si="47"/>
        <v>3.9510622125050698E-8</v>
      </c>
      <c r="J54" s="151">
        <f t="shared" si="47"/>
        <v>3.31393531917161E-8</v>
      </c>
      <c r="K54" s="151">
        <f t="shared" si="47"/>
        <v>2.676808425838151E-8</v>
      </c>
      <c r="L54" s="151">
        <f t="shared" si="47"/>
        <v>2.7300921631049633E-8</v>
      </c>
      <c r="M54" s="151">
        <f t="shared" si="47"/>
        <v>2.7833759003717756E-8</v>
      </c>
      <c r="N54" s="151">
        <f t="shared" si="47"/>
        <v>2.8366596376385878E-8</v>
      </c>
      <c r="O54" s="151">
        <f t="shared" si="47"/>
        <v>2.8899433749054001E-8</v>
      </c>
      <c r="P54" s="151">
        <f t="shared" si="47"/>
        <v>2.9432271121722117E-8</v>
      </c>
      <c r="Q54" s="151">
        <f t="shared" si="47"/>
        <v>1.3547867696777271E-4</v>
      </c>
      <c r="R54" s="151">
        <f t="shared" si="47"/>
        <v>2.7092792166442373E-4</v>
      </c>
      <c r="S54" s="151">
        <f t="shared" si="47"/>
        <v>4.0637716636107474E-4</v>
      </c>
      <c r="T54" s="151">
        <f t="shared" si="47"/>
        <v>5.4182641105772575E-4</v>
      </c>
      <c r="U54" s="151">
        <f t="shared" si="47"/>
        <v>6.7727565575437666E-4</v>
      </c>
      <c r="V54" s="151">
        <f t="shared" si="47"/>
        <v>1.0191785324564898E-3</v>
      </c>
      <c r="W54" s="151">
        <f t="shared" si="47"/>
        <v>1.3610814091586029E-3</v>
      </c>
      <c r="X54" s="151">
        <f t="shared" si="47"/>
        <v>1.702984285860716E-3</v>
      </c>
      <c r="Y54" s="151">
        <f t="shared" si="47"/>
        <v>2.0448871625628291E-3</v>
      </c>
      <c r="Z54" s="151">
        <f t="shared" si="47"/>
        <v>2.3867900392649426E-3</v>
      </c>
      <c r="AA54" s="151">
        <f t="shared" si="47"/>
        <v>2.6553678730536754E-3</v>
      </c>
      <c r="AB54" s="151">
        <f t="shared" si="47"/>
        <v>2.9239457068424082E-3</v>
      </c>
      <c r="AC54" s="151">
        <f t="shared" si="47"/>
        <v>3.192523540631141E-3</v>
      </c>
      <c r="AD54" s="151">
        <f t="shared" si="47"/>
        <v>3.4611013744198739E-3</v>
      </c>
      <c r="AE54" s="151">
        <f t="shared" si="47"/>
        <v>3.7296792082086071E-3</v>
      </c>
      <c r="AF54" s="151">
        <f t="shared" si="47"/>
        <v>4.7865075121987823E-3</v>
      </c>
      <c r="AG54" s="151">
        <f t="shared" si="47"/>
        <v>5.2672611251803909E-3</v>
      </c>
      <c r="AH54" s="151"/>
      <c r="AI54" s="151"/>
      <c r="AJ54" s="151"/>
      <c r="AK54" s="151"/>
      <c r="AL54" s="151"/>
      <c r="AM54" s="151"/>
      <c r="AO54" s="4">
        <f t="shared" si="39"/>
        <v>11</v>
      </c>
    </row>
    <row r="55" spans="1:41" s="227" customFormat="1">
      <c r="A55" s="160" t="str">
        <f t="shared" si="34"/>
        <v>elec</v>
      </c>
      <c r="B55" s="227">
        <f t="shared" si="37"/>
        <v>12</v>
      </c>
      <c r="C55" s="151">
        <f t="shared" ref="C55:AG55" si="48">IF(C$80=-1,D55,IF(C$80=99,B55,IF(C$80=0,INDEX($B17:$K17,0,C$78),(INDEX($B17:$K17,0,C$80+1)-INDEX($B17:$K17,0,C$80))/(INDEX($B$5:$K$5,0,C$80+1)-INDEX($B$5:$K$5,0,C$80))+B55)))</f>
        <v>5.2358613561869397E-2</v>
      </c>
      <c r="D55" s="151">
        <f t="shared" si="48"/>
        <v>5.2336421015451565E-2</v>
      </c>
      <c r="E55" s="151">
        <f t="shared" si="48"/>
        <v>5.2314228469033733E-2</v>
      </c>
      <c r="F55" s="151">
        <f t="shared" si="48"/>
        <v>5.2292035922615901E-2</v>
      </c>
      <c r="G55" s="151">
        <f t="shared" si="48"/>
        <v>5.2141762615898188E-2</v>
      </c>
      <c r="H55" s="151">
        <f t="shared" si="48"/>
        <v>5.1991489309180475E-2</v>
      </c>
      <c r="I55" s="151">
        <f t="shared" si="48"/>
        <v>5.1841216002462762E-2</v>
      </c>
      <c r="J55" s="151">
        <f t="shared" si="48"/>
        <v>5.1690942695745049E-2</v>
      </c>
      <c r="K55" s="151">
        <f t="shared" si="48"/>
        <v>5.1540669389027335E-2</v>
      </c>
      <c r="L55" s="151">
        <f t="shared" si="48"/>
        <v>5.204284473850268E-2</v>
      </c>
      <c r="M55" s="151">
        <f t="shared" si="48"/>
        <v>5.2545020087978025E-2</v>
      </c>
      <c r="N55" s="151">
        <f t="shared" si="48"/>
        <v>5.3047195437453371E-2</v>
      </c>
      <c r="O55" s="151">
        <f t="shared" si="48"/>
        <v>5.3549370786928716E-2</v>
      </c>
      <c r="P55" s="151">
        <f t="shared" si="48"/>
        <v>5.4051546136404061E-2</v>
      </c>
      <c r="Q55" s="151">
        <f t="shared" si="48"/>
        <v>5.5307046194254222E-2</v>
      </c>
      <c r="R55" s="151">
        <f t="shared" si="48"/>
        <v>5.6562546252104384E-2</v>
      </c>
      <c r="S55" s="151">
        <f t="shared" si="48"/>
        <v>5.7818046309954546E-2</v>
      </c>
      <c r="T55" s="151">
        <f t="shared" si="48"/>
        <v>5.9073546367804708E-2</v>
      </c>
      <c r="U55" s="151">
        <f t="shared" si="48"/>
        <v>6.0329046425654877E-2</v>
      </c>
      <c r="V55" s="151">
        <f t="shared" si="48"/>
        <v>6.1841415541561466E-2</v>
      </c>
      <c r="W55" s="151">
        <f t="shared" si="48"/>
        <v>6.3353784657468062E-2</v>
      </c>
      <c r="X55" s="151">
        <f t="shared" si="48"/>
        <v>6.4866153773374652E-2</v>
      </c>
      <c r="Y55" s="151">
        <f t="shared" si="48"/>
        <v>6.6378522889281241E-2</v>
      </c>
      <c r="Z55" s="151">
        <f t="shared" si="48"/>
        <v>6.7890892005187831E-2</v>
      </c>
      <c r="AA55" s="151">
        <f t="shared" si="48"/>
        <v>6.8933990267628184E-2</v>
      </c>
      <c r="AB55" s="151">
        <f t="shared" si="48"/>
        <v>6.9977088530068537E-2</v>
      </c>
      <c r="AC55" s="151">
        <f t="shared" si="48"/>
        <v>7.1020186792508891E-2</v>
      </c>
      <c r="AD55" s="151">
        <f t="shared" si="48"/>
        <v>7.2063285054949244E-2</v>
      </c>
      <c r="AE55" s="151">
        <f t="shared" si="48"/>
        <v>7.3106383317389598E-2</v>
      </c>
      <c r="AF55" s="151">
        <f t="shared" si="48"/>
        <v>7.9253677165978934E-2</v>
      </c>
      <c r="AG55" s="151">
        <f t="shared" si="48"/>
        <v>8.6131224751441665E-2</v>
      </c>
      <c r="AH55" s="151"/>
      <c r="AI55" s="151"/>
      <c r="AJ55" s="151"/>
      <c r="AK55" s="151"/>
      <c r="AL55" s="151"/>
      <c r="AM55" s="151"/>
      <c r="AO55" s="227">
        <f t="shared" si="39"/>
        <v>12</v>
      </c>
    </row>
    <row r="56" spans="1:41" s="227" customFormat="1">
      <c r="A56" s="160" t="str">
        <f t="shared" si="34"/>
        <v>tranlp</v>
      </c>
      <c r="B56" s="227">
        <f t="shared" si="37"/>
        <v>13</v>
      </c>
      <c r="C56" s="151">
        <f t="shared" ref="C56:AG56" si="49">IF(C$80=-1,D56,IF(C$80=99,B56,IF(C$80=0,INDEX($B18:$K18,0,C$78),(INDEX($B18:$K18,0,C$80+1)-INDEX($B18:$K18,0,C$80))/(INDEX($B$5:$K$5,0,C$80+1)-INDEX($B$5:$K$5,0,C$80))+B56)))</f>
        <v>4.6450465012080775E-3</v>
      </c>
      <c r="D56" s="151">
        <f t="shared" si="49"/>
        <v>5.1085908043787959E-3</v>
      </c>
      <c r="E56" s="151">
        <f t="shared" si="49"/>
        <v>5.5721351075495142E-3</v>
      </c>
      <c r="F56" s="151">
        <f t="shared" si="49"/>
        <v>6.0356794107202317E-3</v>
      </c>
      <c r="G56" s="151">
        <f t="shared" si="49"/>
        <v>6.492884630710705E-3</v>
      </c>
      <c r="H56" s="151">
        <f t="shared" si="49"/>
        <v>6.9500898507011783E-3</v>
      </c>
      <c r="I56" s="151">
        <f t="shared" si="49"/>
        <v>7.4072950706916517E-3</v>
      </c>
      <c r="J56" s="151">
        <f t="shared" si="49"/>
        <v>7.8645002906821242E-3</v>
      </c>
      <c r="K56" s="151">
        <f t="shared" si="49"/>
        <v>8.3217055106725966E-3</v>
      </c>
      <c r="L56" s="151">
        <f t="shared" si="49"/>
        <v>8.7759733769106636E-3</v>
      </c>
      <c r="M56" s="151">
        <f t="shared" si="49"/>
        <v>9.2302412431487305E-3</v>
      </c>
      <c r="N56" s="151">
        <f t="shared" si="49"/>
        <v>9.6845091093867974E-3</v>
      </c>
      <c r="O56" s="151">
        <f t="shared" si="49"/>
        <v>1.0138776975624864E-2</v>
      </c>
      <c r="P56" s="151">
        <f t="shared" si="49"/>
        <v>1.0593044841862929E-2</v>
      </c>
      <c r="Q56" s="151">
        <f t="shared" si="49"/>
        <v>1.1328422969525494E-2</v>
      </c>
      <c r="R56" s="151">
        <f t="shared" si="49"/>
        <v>1.2063801097188059E-2</v>
      </c>
      <c r="S56" s="151">
        <f t="shared" si="49"/>
        <v>1.2799179224850623E-2</v>
      </c>
      <c r="T56" s="151">
        <f t="shared" si="49"/>
        <v>1.3534557352513188E-2</v>
      </c>
      <c r="U56" s="151">
        <f t="shared" si="49"/>
        <v>1.4269935480175756E-2</v>
      </c>
      <c r="V56" s="151">
        <f t="shared" si="49"/>
        <v>1.5135891807567898E-2</v>
      </c>
      <c r="W56" s="151">
        <f t="shared" si="49"/>
        <v>1.6001848134960042E-2</v>
      </c>
      <c r="X56" s="151">
        <f t="shared" si="49"/>
        <v>1.6867804462352184E-2</v>
      </c>
      <c r="Y56" s="151">
        <f t="shared" si="49"/>
        <v>1.7733760789744327E-2</v>
      </c>
      <c r="Z56" s="151">
        <f t="shared" si="49"/>
        <v>1.8599717117136469E-2</v>
      </c>
      <c r="AA56" s="151">
        <f t="shared" si="49"/>
        <v>1.9600009789545968E-2</v>
      </c>
      <c r="AB56" s="151">
        <f t="shared" si="49"/>
        <v>2.0600302461955468E-2</v>
      </c>
      <c r="AC56" s="151">
        <f t="shared" si="49"/>
        <v>2.1600595134364967E-2</v>
      </c>
      <c r="AD56" s="151">
        <f t="shared" si="49"/>
        <v>2.2600887806774467E-2</v>
      </c>
      <c r="AE56" s="151">
        <f t="shared" si="49"/>
        <v>2.3601180479183973E-2</v>
      </c>
      <c r="AF56" s="151">
        <f t="shared" si="49"/>
        <v>2.7942644010851371E-2</v>
      </c>
      <c r="AG56" s="151">
        <f t="shared" si="49"/>
        <v>3.1136617284328663E-2</v>
      </c>
      <c r="AH56" s="151"/>
      <c r="AI56" s="151"/>
      <c r="AJ56" s="151"/>
      <c r="AK56" s="151"/>
      <c r="AL56" s="151"/>
      <c r="AM56" s="151"/>
      <c r="AO56" s="227">
        <f t="shared" si="39"/>
        <v>13</v>
      </c>
    </row>
    <row r="57" spans="1:41" s="227" customFormat="1">
      <c r="A57" s="160" t="str">
        <f t="shared" si="34"/>
        <v>tranlf</v>
      </c>
      <c r="B57" s="227">
        <f t="shared" si="37"/>
        <v>14</v>
      </c>
      <c r="C57" s="151">
        <f t="shared" ref="C57:AG57" si="50">IF(C$80=-1,D57,IF(C$80=99,B57,IF(C$80=0,INDEX($B19:$K19,0,C$78),(INDEX($B19:$K19,0,C$80+1)-INDEX($B19:$K19,0,C$80))/(INDEX($B$5:$K$5,0,C$80+1)-INDEX($B$5:$K$5,0,C$80))+B57)))</f>
        <v>2.9857347895642108E-2</v>
      </c>
      <c r="D57" s="151">
        <f t="shared" si="50"/>
        <v>3.0557261620290311E-2</v>
      </c>
      <c r="E57" s="151">
        <f t="shared" si="50"/>
        <v>3.1257175344938513E-2</v>
      </c>
      <c r="F57" s="151">
        <f t="shared" si="50"/>
        <v>3.1957089069586712E-2</v>
      </c>
      <c r="G57" s="151">
        <f t="shared" si="50"/>
        <v>3.2228827990935113E-2</v>
      </c>
      <c r="H57" s="151">
        <f t="shared" si="50"/>
        <v>3.2500566912283514E-2</v>
      </c>
      <c r="I57" s="151">
        <f t="shared" si="50"/>
        <v>3.2772305833631915E-2</v>
      </c>
      <c r="J57" s="151">
        <f t="shared" si="50"/>
        <v>3.3044044754980316E-2</v>
      </c>
      <c r="K57" s="151">
        <f t="shared" si="50"/>
        <v>3.3315783676328731E-2</v>
      </c>
      <c r="L57" s="151">
        <f t="shared" si="50"/>
        <v>3.3836473509848621E-2</v>
      </c>
      <c r="M57" s="151">
        <f t="shared" si="50"/>
        <v>3.435716334336851E-2</v>
      </c>
      <c r="N57" s="151">
        <f t="shared" si="50"/>
        <v>3.48778531768884E-2</v>
      </c>
      <c r="O57" s="151">
        <f t="shared" si="50"/>
        <v>3.539854301040829E-2</v>
      </c>
      <c r="P57" s="151">
        <f t="shared" si="50"/>
        <v>3.5919232843928166E-2</v>
      </c>
      <c r="Q57" s="151">
        <f t="shared" si="50"/>
        <v>3.6614097277216519E-2</v>
      </c>
      <c r="R57" s="151">
        <f t="shared" si="50"/>
        <v>3.7308961710504872E-2</v>
      </c>
      <c r="S57" s="151">
        <f t="shared" si="50"/>
        <v>3.8003826143793225E-2</v>
      </c>
      <c r="T57" s="151">
        <f t="shared" si="50"/>
        <v>3.8698690577081578E-2</v>
      </c>
      <c r="U57" s="151">
        <f t="shared" si="50"/>
        <v>3.9393555010369931E-2</v>
      </c>
      <c r="V57" s="151">
        <f t="shared" si="50"/>
        <v>4.0230673556014167E-2</v>
      </c>
      <c r="W57" s="151">
        <f t="shared" si="50"/>
        <v>4.1067792101658403E-2</v>
      </c>
      <c r="X57" s="151">
        <f t="shared" si="50"/>
        <v>4.1904910647302639E-2</v>
      </c>
      <c r="Y57" s="151">
        <f t="shared" si="50"/>
        <v>4.2742029192946875E-2</v>
      </c>
      <c r="Z57" s="151">
        <f t="shared" si="50"/>
        <v>4.3579147738591111E-2</v>
      </c>
      <c r="AA57" s="151">
        <f t="shared" si="50"/>
        <v>4.4520516494617766E-2</v>
      </c>
      <c r="AB57" s="151">
        <f t="shared" si="50"/>
        <v>4.5461885250644422E-2</v>
      </c>
      <c r="AC57" s="151">
        <f t="shared" si="50"/>
        <v>4.6403254006671078E-2</v>
      </c>
      <c r="AD57" s="151">
        <f t="shared" si="50"/>
        <v>4.7344622762697734E-2</v>
      </c>
      <c r="AE57" s="151">
        <f t="shared" si="50"/>
        <v>4.8285991518724383E-2</v>
      </c>
      <c r="AF57" s="151">
        <f t="shared" si="50"/>
        <v>5.3223852553463055E-2</v>
      </c>
      <c r="AG57" s="151">
        <f t="shared" si="50"/>
        <v>5.8299222792853836E-2</v>
      </c>
      <c r="AH57" s="151"/>
      <c r="AI57" s="151"/>
      <c r="AJ57" s="151"/>
      <c r="AK57" s="151"/>
      <c r="AL57" s="151"/>
      <c r="AM57" s="151"/>
      <c r="AO57" s="227">
        <f t="shared" si="39"/>
        <v>14</v>
      </c>
    </row>
    <row r="58" spans="1:41" s="227" customFormat="1">
      <c r="A58" s="160" t="str">
        <f t="shared" ref="A58:A59" si="51">A20</f>
        <v>trana</v>
      </c>
      <c r="B58" s="227">
        <f t="shared" si="37"/>
        <v>15</v>
      </c>
      <c r="C58" s="151">
        <f t="shared" ref="C58:C59" si="52">IF(C$80=-1,D58,IF(C$80=99,B58,IF(C$80=0,INDEX($B20:$K20,0,C$78),(INDEX($B20:$K20,0,C$80+1)-INDEX($B20:$K20,0,C$80))/(INDEX($B$5:$K$5,0,C$80+1)-INDEX($B$5:$K$5,0,C$80))+B58)))</f>
        <v>2.2298555159424292E-3</v>
      </c>
      <c r="D58" s="151">
        <f t="shared" ref="D58:D59" si="53">IF(D$80=-1,E58,IF(D$80=99,C58,IF(D$80=0,INDEX($B20:$K20,0,D$78),(INDEX($B20:$K20,0,D$80+1)-INDEX($B20:$K20,0,D$80))/(INDEX($B$5:$K$5,0,D$80+1)-INDEX($B$5:$K$5,0,D$80))+C58)))</f>
        <v>2.3132398838667809E-3</v>
      </c>
      <c r="E58" s="151">
        <f t="shared" ref="E58:E59" si="54">IF(E$80=-1,F58,IF(E$80=99,D58,IF(E$80=0,INDEX($B20:$K20,0,E$78),(INDEX($B20:$K20,0,E$80+1)-INDEX($B20:$K20,0,E$80))/(INDEX($B$5:$K$5,0,E$80+1)-INDEX($B$5:$K$5,0,E$80))+D58)))</f>
        <v>2.3966242517911326E-3</v>
      </c>
      <c r="F58" s="151">
        <f t="shared" ref="F58:F59" si="55">IF(F$80=-1,G58,IF(F$80=99,E58,IF(F$80=0,INDEX($B20:$K20,0,F$78),(INDEX($B20:$K20,0,F$80+1)-INDEX($B20:$K20,0,F$80))/(INDEX($B$5:$K$5,0,F$80+1)-INDEX($B$5:$K$5,0,F$80))+E58)))</f>
        <v>2.4800086197154843E-3</v>
      </c>
      <c r="G58" s="151">
        <f t="shared" ref="G58:G59" si="56">IF(G$80=-1,H58,IF(G$80=99,F58,IF(G$80=0,INDEX($B20:$K20,0,G$78),(INDEX($B20:$K20,0,G$80+1)-INDEX($B20:$K20,0,G$80))/(INDEX($B$5:$K$5,0,G$80+1)-INDEX($B$5:$K$5,0,G$80))+F58)))</f>
        <v>2.5295397353225072E-3</v>
      </c>
      <c r="H58" s="151">
        <f t="shared" ref="H58:H59" si="57">IF(H$80=-1,I58,IF(H$80=99,G58,IF(H$80=0,INDEX($B20:$K20,0,H$78),(INDEX($B20:$K20,0,H$80+1)-INDEX($B20:$K20,0,H$80))/(INDEX($B$5:$K$5,0,H$80+1)-INDEX($B$5:$K$5,0,H$80))+G58)))</f>
        <v>2.5790708509295301E-3</v>
      </c>
      <c r="I58" s="151">
        <f t="shared" ref="I58:I59" si="58">IF(I$80=-1,J58,IF(I$80=99,H58,IF(I$80=0,INDEX($B20:$K20,0,I$78),(INDEX($B20:$K20,0,I$80+1)-INDEX($B20:$K20,0,I$80))/(INDEX($B$5:$K$5,0,I$80+1)-INDEX($B$5:$K$5,0,I$80))+H58)))</f>
        <v>2.628601966536553E-3</v>
      </c>
      <c r="J58" s="151">
        <f t="shared" ref="J58:J59" si="59">IF(J$80=-1,K58,IF(J$80=99,I58,IF(J$80=0,INDEX($B20:$K20,0,J$78),(INDEX($B20:$K20,0,J$80+1)-INDEX($B20:$K20,0,J$80))/(INDEX($B$5:$K$5,0,J$80+1)-INDEX($B$5:$K$5,0,J$80))+I58)))</f>
        <v>2.6781330821435759E-3</v>
      </c>
      <c r="K58" s="151">
        <f t="shared" ref="K58:K59" si="60">IF(K$80=-1,L58,IF(K$80=99,J58,IF(K$80=0,INDEX($B20:$K20,0,K$78),(INDEX($B20:$K20,0,K$80+1)-INDEX($B20:$K20,0,K$80))/(INDEX($B$5:$K$5,0,K$80+1)-INDEX($B$5:$K$5,0,K$80))+J58)))</f>
        <v>2.7276641977505983E-3</v>
      </c>
      <c r="L58" s="151">
        <f t="shared" ref="L58:L59" si="61">IF(L$80=-1,M58,IF(L$80=99,K58,IF(L$80=0,INDEX($B20:$K20,0,L$78),(INDEX($B20:$K20,0,L$80+1)-INDEX($B20:$K20,0,L$80))/(INDEX($B$5:$K$5,0,L$80+1)-INDEX($B$5:$K$5,0,L$80))+K58)))</f>
        <v>2.7624080590221227E-3</v>
      </c>
      <c r="M58" s="151">
        <f t="shared" ref="M58:M59" si="62">IF(M$80=-1,N58,IF(M$80=99,L58,IF(M$80=0,INDEX($B20:$K20,0,M$78),(INDEX($B20:$K20,0,M$80+1)-INDEX($B20:$K20,0,M$80))/(INDEX($B$5:$K$5,0,M$80+1)-INDEX($B$5:$K$5,0,M$80))+L58)))</f>
        <v>2.7971519202936472E-3</v>
      </c>
      <c r="N58" s="151">
        <f t="shared" ref="N58:N59" si="63">IF(N$80=-1,O58,IF(N$80=99,M58,IF(N$80=0,INDEX($B20:$K20,0,N$78),(INDEX($B20:$K20,0,N$80+1)-INDEX($B20:$K20,0,N$80))/(INDEX($B$5:$K$5,0,N$80+1)-INDEX($B$5:$K$5,0,N$80))+M58)))</f>
        <v>2.8318957815651716E-3</v>
      </c>
      <c r="O58" s="151">
        <f t="shared" ref="O58:O59" si="64">IF(O$80=-1,P58,IF(O$80=99,N58,IF(O$80=0,INDEX($B20:$K20,0,O$78),(INDEX($B20:$K20,0,O$80+1)-INDEX($B20:$K20,0,O$80))/(INDEX($B$5:$K$5,0,O$80+1)-INDEX($B$5:$K$5,0,O$80))+N58)))</f>
        <v>2.866639642836696E-3</v>
      </c>
      <c r="P58" s="151">
        <f t="shared" ref="P58:P59" si="65">IF(P$80=-1,Q58,IF(P$80=99,O58,IF(P$80=0,INDEX($B20:$K20,0,P$78),(INDEX($B20:$K20,0,P$80+1)-INDEX($B20:$K20,0,P$80))/(INDEX($B$5:$K$5,0,P$80+1)-INDEX($B$5:$K$5,0,P$80))+O58)))</f>
        <v>2.9013835041082196E-3</v>
      </c>
      <c r="Q58" s="151">
        <f t="shared" ref="Q58:Q59" si="66">IF(Q$80=-1,R58,IF(Q$80=99,P58,IF(Q$80=0,INDEX($B20:$K20,0,Q$78),(INDEX($B20:$K20,0,Q$80+1)-INDEX($B20:$K20,0,Q$80))/(INDEX($B$5:$K$5,0,Q$80+1)-INDEX($B$5:$K$5,0,Q$80))+P58)))</f>
        <v>2.9538943226857595E-3</v>
      </c>
      <c r="R58" s="151">
        <f t="shared" ref="R58:R59" si="67">IF(R$80=-1,S58,IF(R$80=99,Q58,IF(R$80=0,INDEX($B20:$K20,0,R$78),(INDEX($B20:$K20,0,R$80+1)-INDEX($B20:$K20,0,R$80))/(INDEX($B$5:$K$5,0,R$80+1)-INDEX($B$5:$K$5,0,R$80))+Q58)))</f>
        <v>3.0064051412632994E-3</v>
      </c>
      <c r="S58" s="151">
        <f t="shared" ref="S58:S59" si="68">IF(S$80=-1,T58,IF(S$80=99,R58,IF(S$80=0,INDEX($B20:$K20,0,S$78),(INDEX($B20:$K20,0,S$80+1)-INDEX($B20:$K20,0,S$80))/(INDEX($B$5:$K$5,0,S$80+1)-INDEX($B$5:$K$5,0,S$80))+R58)))</f>
        <v>3.0589159598408393E-3</v>
      </c>
      <c r="T58" s="151">
        <f t="shared" ref="T58:T59" si="69">IF(T$80=-1,U58,IF(T$80=99,S58,IF(T$80=0,INDEX($B20:$K20,0,T$78),(INDEX($B20:$K20,0,T$80+1)-INDEX($B20:$K20,0,T$80))/(INDEX($B$5:$K$5,0,T$80+1)-INDEX($B$5:$K$5,0,T$80))+S58)))</f>
        <v>3.1114267784183793E-3</v>
      </c>
      <c r="U58" s="151">
        <f t="shared" ref="U58:U59" si="70">IF(U$80=-1,V58,IF(U$80=99,T58,IF(U$80=0,INDEX($B20:$K20,0,U$78),(INDEX($B20:$K20,0,U$80+1)-INDEX($B20:$K20,0,U$80))/(INDEX($B$5:$K$5,0,U$80+1)-INDEX($B$5:$K$5,0,U$80))+T58)))</f>
        <v>3.1639375969959196E-3</v>
      </c>
      <c r="V58" s="151">
        <f t="shared" ref="V58:V59" si="71">IF(V$80=-1,W58,IF(V$80=99,U58,IF(V$80=0,INDEX($B20:$K20,0,V$78),(INDEX($B20:$K20,0,V$80+1)-INDEX($B20:$K20,0,V$80))/(INDEX($B$5:$K$5,0,V$80+1)-INDEX($B$5:$K$5,0,V$80))+U58)))</f>
        <v>3.2238984535035643E-3</v>
      </c>
      <c r="W58" s="151">
        <f t="shared" ref="W58:W59" si="72">IF(W$80=-1,X58,IF(W$80=99,V58,IF(W$80=0,INDEX($B20:$K20,0,W$78),(INDEX($B20:$K20,0,W$80+1)-INDEX($B20:$K20,0,W$80))/(INDEX($B$5:$K$5,0,W$80+1)-INDEX($B$5:$K$5,0,W$80))+V58)))</f>
        <v>3.2838593100112091E-3</v>
      </c>
      <c r="X58" s="151">
        <f t="shared" ref="X58:X59" si="73">IF(X$80=-1,Y58,IF(X$80=99,W58,IF(X$80=0,INDEX($B20:$K20,0,X$78),(INDEX($B20:$K20,0,X$80+1)-INDEX($B20:$K20,0,X$80))/(INDEX($B$5:$K$5,0,X$80+1)-INDEX($B$5:$K$5,0,X$80))+W58)))</f>
        <v>3.3438201665188538E-3</v>
      </c>
      <c r="Y58" s="151">
        <f t="shared" ref="Y58:Y59" si="74">IF(Y$80=-1,Z58,IF(Y$80=99,X58,IF(Y$80=0,INDEX($B20:$K20,0,Y$78),(INDEX($B20:$K20,0,Y$80+1)-INDEX($B20:$K20,0,Y$80))/(INDEX($B$5:$K$5,0,Y$80+1)-INDEX($B$5:$K$5,0,Y$80))+X58)))</f>
        <v>3.4037810230264985E-3</v>
      </c>
      <c r="Z58" s="151">
        <f t="shared" ref="Z58:Z59" si="75">IF(Z$80=-1,AA58,IF(Z$80=99,Y58,IF(Z$80=0,INDEX($B20:$K20,0,Z$78),(INDEX($B20:$K20,0,Z$80+1)-INDEX($B20:$K20,0,Z$80))/(INDEX($B$5:$K$5,0,Z$80+1)-INDEX($B$5:$K$5,0,Z$80))+Y58)))</f>
        <v>3.4637418795341441E-3</v>
      </c>
      <c r="AA58" s="151">
        <f t="shared" ref="AA58:AA59" si="76">IF(AA$80=-1,AB58,IF(AA$80=99,Z58,IF(AA$80=0,INDEX($B20:$K20,0,AA$78),(INDEX($B20:$K20,0,AA$80+1)-INDEX($B20:$K20,0,AA$80))/(INDEX($B$5:$K$5,0,AA$80+1)-INDEX($B$5:$K$5,0,AA$80))+Z58)))</f>
        <v>3.5282290681219429E-3</v>
      </c>
      <c r="AB58" s="151">
        <f t="shared" ref="AB58:AB59" si="77">IF(AB$80=-1,AC58,IF(AB$80=99,AA58,IF(AB$80=0,INDEX($B20:$K20,0,AB$78),(INDEX($B20:$K20,0,AB$80+1)-INDEX($B20:$K20,0,AB$80))/(INDEX($B$5:$K$5,0,AB$80+1)-INDEX($B$5:$K$5,0,AB$80))+AA58)))</f>
        <v>3.5927162567097417E-3</v>
      </c>
      <c r="AC58" s="151">
        <f t="shared" ref="AC58:AC59" si="78">IF(AC$80=-1,AD58,IF(AC$80=99,AB58,IF(AC$80=0,INDEX($B20:$K20,0,AC$78),(INDEX($B20:$K20,0,AC$80+1)-INDEX($B20:$K20,0,AC$80))/(INDEX($B$5:$K$5,0,AC$80+1)-INDEX($B$5:$K$5,0,AC$80))+AB58)))</f>
        <v>3.6572034452975405E-3</v>
      </c>
      <c r="AD58" s="151">
        <f t="shared" ref="AD58:AD59" si="79">IF(AD$80=-1,AE58,IF(AD$80=99,AC58,IF(AD$80=0,INDEX($B20:$K20,0,AD$78),(INDEX($B20:$K20,0,AD$80+1)-INDEX($B20:$K20,0,AD$80))/(INDEX($B$5:$K$5,0,AD$80+1)-INDEX($B$5:$K$5,0,AD$80))+AC58)))</f>
        <v>3.7216906338853393E-3</v>
      </c>
      <c r="AE58" s="151">
        <f t="shared" ref="AE58:AE59" si="80">IF(AE$80=-1,AF58,IF(AE$80=99,AD58,IF(AE$80=0,INDEX($B20:$K20,0,AE$78),(INDEX($B20:$K20,0,AE$80+1)-INDEX($B20:$K20,0,AE$80))/(INDEX($B$5:$K$5,0,AE$80+1)-INDEX($B$5:$K$5,0,AE$80))+AD58)))</f>
        <v>3.786177822473139E-3</v>
      </c>
      <c r="AF58" s="151">
        <f t="shared" ref="AF58:AF59" si="81">IF(AF$80=-1,AG58,IF(AF$80=99,AE58,IF(AF$80=0,INDEX($B20:$K20,0,AF$78),(INDEX($B20:$K20,0,AF$80+1)-INDEX($B20:$K20,0,AF$80))/(INDEX($B$5:$K$5,0,AF$80+1)-INDEX($B$5:$K$5,0,AF$80))+AE58)))</f>
        <v>4.1095772869251933E-3</v>
      </c>
      <c r="AG58" s="151">
        <f t="shared" ref="AG58:AG59" si="82">IF(AG$80=-1,AH58,IF(AG$80=99,AF58,IF(AG$80=0,INDEX($B20:$K20,0,AG$78),(INDEX($B20:$K20,0,AG$80+1)-INDEX($B20:$K20,0,AG$80))/(INDEX($B$5:$K$5,0,AG$80+1)-INDEX($B$5:$K$5,0,AG$80))+AF58)))</f>
        <v>4.3861391350320106E-3</v>
      </c>
      <c r="AH58" s="151"/>
      <c r="AI58" s="151"/>
      <c r="AJ58" s="151"/>
      <c r="AK58" s="151"/>
      <c r="AL58" s="151"/>
      <c r="AM58" s="151"/>
      <c r="AO58" s="227">
        <f t="shared" si="39"/>
        <v>15</v>
      </c>
    </row>
    <row r="59" spans="1:41" s="227" customFormat="1">
      <c r="A59" s="160" t="str">
        <f t="shared" si="51"/>
        <v>trano</v>
      </c>
      <c r="B59" s="227">
        <f t="shared" si="37"/>
        <v>16</v>
      </c>
      <c r="C59" s="151">
        <f t="shared" si="52"/>
        <v>1.6324972857029358E-4</v>
      </c>
      <c r="D59" s="151">
        <f t="shared" si="53"/>
        <v>1.5931972971386138E-4</v>
      </c>
      <c r="E59" s="151">
        <f t="shared" si="54"/>
        <v>1.5538973085742918E-4</v>
      </c>
      <c r="F59" s="151">
        <f t="shared" si="55"/>
        <v>1.5145973200099698E-4</v>
      </c>
      <c r="G59" s="151">
        <f t="shared" si="56"/>
        <v>1.4754847943459999E-4</v>
      </c>
      <c r="H59" s="151">
        <f t="shared" si="57"/>
        <v>1.43637226868203E-4</v>
      </c>
      <c r="I59" s="151">
        <f t="shared" si="58"/>
        <v>1.39725974301806E-4</v>
      </c>
      <c r="J59" s="151">
        <f t="shared" si="59"/>
        <v>1.3581472173540901E-4</v>
      </c>
      <c r="K59" s="151">
        <f t="shared" si="60"/>
        <v>1.3190346916901207E-4</v>
      </c>
      <c r="L59" s="151">
        <f t="shared" si="61"/>
        <v>1.3521552586943597E-4</v>
      </c>
      <c r="M59" s="151">
        <f t="shared" si="62"/>
        <v>1.3852758256985986E-4</v>
      </c>
      <c r="N59" s="151">
        <f t="shared" si="63"/>
        <v>1.4183963927028376E-4</v>
      </c>
      <c r="O59" s="151">
        <f t="shared" si="64"/>
        <v>1.4515169597070765E-4</v>
      </c>
      <c r="P59" s="151">
        <f t="shared" si="65"/>
        <v>1.4846375267113155E-4</v>
      </c>
      <c r="Q59" s="151">
        <f t="shared" si="66"/>
        <v>1.5119065170234887E-4</v>
      </c>
      <c r="R59" s="151">
        <f t="shared" si="67"/>
        <v>1.539175507335662E-4</v>
      </c>
      <c r="S59" s="151">
        <f t="shared" si="68"/>
        <v>1.5664444976478352E-4</v>
      </c>
      <c r="T59" s="151">
        <f t="shared" si="69"/>
        <v>1.5937134879600085E-4</v>
      </c>
      <c r="U59" s="151">
        <f t="shared" si="70"/>
        <v>1.6209824782721812E-4</v>
      </c>
      <c r="V59" s="151">
        <f t="shared" si="71"/>
        <v>1.6648930541530101E-4</v>
      </c>
      <c r="W59" s="151">
        <f t="shared" si="72"/>
        <v>1.7088036300338391E-4</v>
      </c>
      <c r="X59" s="151">
        <f t="shared" si="73"/>
        <v>1.752714205914668E-4</v>
      </c>
      <c r="Y59" s="151">
        <f t="shared" si="74"/>
        <v>1.796624781795497E-4</v>
      </c>
      <c r="Z59" s="151">
        <f t="shared" si="75"/>
        <v>1.8405353576763254E-4</v>
      </c>
      <c r="AA59" s="151">
        <f t="shared" si="76"/>
        <v>1.8912367978416662E-4</v>
      </c>
      <c r="AB59" s="151">
        <f t="shared" si="77"/>
        <v>1.941938238007007E-4</v>
      </c>
      <c r="AC59" s="151">
        <f t="shared" si="78"/>
        <v>1.9926396781723478E-4</v>
      </c>
      <c r="AD59" s="151">
        <f t="shared" si="79"/>
        <v>2.0433411183376886E-4</v>
      </c>
      <c r="AE59" s="151">
        <f t="shared" si="80"/>
        <v>2.0940425585030297E-4</v>
      </c>
      <c r="AF59" s="151">
        <f t="shared" si="81"/>
        <v>2.4002247863262138E-4</v>
      </c>
      <c r="AG59" s="151">
        <f t="shared" si="82"/>
        <v>2.8025966700077475E-4</v>
      </c>
      <c r="AH59" s="151"/>
      <c r="AI59" s="151"/>
      <c r="AJ59" s="151"/>
      <c r="AK59" s="151"/>
      <c r="AL59" s="151"/>
      <c r="AM59" s="151"/>
      <c r="AO59" s="227">
        <f t="shared" si="39"/>
        <v>16</v>
      </c>
    </row>
    <row r="60" spans="1:41">
      <c r="A60" s="5" t="s">
        <v>6</v>
      </c>
      <c r="B60" s="227">
        <f t="shared" si="37"/>
        <v>17</v>
      </c>
      <c r="C60" s="152">
        <f>SUM(C44:C59)</f>
        <v>0.53549652135826997</v>
      </c>
      <c r="D60" s="152">
        <f t="shared" ref="D60:AG60" si="83">SUM(D44:D59)</f>
        <v>0.54562216948264786</v>
      </c>
      <c r="E60" s="152">
        <f t="shared" si="83"/>
        <v>0.55574781760702585</v>
      </c>
      <c r="F60" s="152">
        <f t="shared" si="83"/>
        <v>0.56587346573140396</v>
      </c>
      <c r="G60" s="152">
        <f t="shared" si="83"/>
        <v>0.57104849018402537</v>
      </c>
      <c r="H60" s="152">
        <f t="shared" si="83"/>
        <v>0.57622351463664712</v>
      </c>
      <c r="I60" s="152">
        <f t="shared" si="83"/>
        <v>0.58139853908926831</v>
      </c>
      <c r="J60" s="152">
        <f t="shared" si="83"/>
        <v>0.58657356354189005</v>
      </c>
      <c r="K60" s="152">
        <f t="shared" si="83"/>
        <v>0.59174858799451135</v>
      </c>
      <c r="L60" s="152">
        <f t="shared" si="83"/>
        <v>0.60151188027994185</v>
      </c>
      <c r="M60" s="152">
        <f t="shared" si="83"/>
        <v>0.61127517256537167</v>
      </c>
      <c r="N60" s="152">
        <f t="shared" si="83"/>
        <v>0.62103846485080205</v>
      </c>
      <c r="O60" s="152">
        <f t="shared" si="83"/>
        <v>0.6308017571362321</v>
      </c>
      <c r="P60" s="152">
        <f t="shared" si="83"/>
        <v>0.64056504942166259</v>
      </c>
      <c r="Q60" s="152">
        <f t="shared" si="83"/>
        <v>0.65515797471560344</v>
      </c>
      <c r="R60" s="152">
        <f t="shared" si="83"/>
        <v>0.66975090000954463</v>
      </c>
      <c r="S60" s="152">
        <f t="shared" si="83"/>
        <v>0.68434382530348548</v>
      </c>
      <c r="T60" s="152">
        <f t="shared" si="83"/>
        <v>0.69893675059742633</v>
      </c>
      <c r="U60" s="152">
        <f t="shared" si="83"/>
        <v>0.71352967589136751</v>
      </c>
      <c r="V60" s="152">
        <f t="shared" si="83"/>
        <v>0.72986547629543175</v>
      </c>
      <c r="W60" s="152">
        <f t="shared" si="83"/>
        <v>0.74620127669949632</v>
      </c>
      <c r="X60" s="152">
        <f t="shared" si="83"/>
        <v>0.76253707710356056</v>
      </c>
      <c r="Y60" s="152">
        <f t="shared" si="83"/>
        <v>0.77887287750762491</v>
      </c>
      <c r="Z60" s="152">
        <f t="shared" si="83"/>
        <v>0.79520867791168925</v>
      </c>
      <c r="AA60" s="152">
        <f t="shared" si="83"/>
        <v>0.81310053339342114</v>
      </c>
      <c r="AB60" s="152">
        <f t="shared" si="83"/>
        <v>0.83099238887515303</v>
      </c>
      <c r="AC60" s="152">
        <f t="shared" si="83"/>
        <v>0.84888424435688492</v>
      </c>
      <c r="AD60" s="152">
        <f t="shared" si="83"/>
        <v>0.86677609983861692</v>
      </c>
      <c r="AE60" s="152">
        <f t="shared" si="83"/>
        <v>0.88466795532034903</v>
      </c>
      <c r="AF60" s="152">
        <f t="shared" si="83"/>
        <v>0.97417177550285561</v>
      </c>
      <c r="AG60" s="152">
        <f t="shared" si="83"/>
        <v>1.0643455652319223</v>
      </c>
      <c r="AH60" s="152"/>
      <c r="AI60" s="152"/>
      <c r="AJ60" s="152"/>
      <c r="AK60" s="152"/>
      <c r="AL60" s="152"/>
      <c r="AM60" s="152"/>
    </row>
    <row r="61" spans="1:41">
      <c r="A61" s="4" t="s">
        <v>409</v>
      </c>
      <c r="B61" s="227">
        <f t="shared" si="37"/>
        <v>18</v>
      </c>
      <c r="C61" s="151">
        <f t="shared" ref="C61:AG61" si="84">IF(C$80=-1,D61,IF(C$80=99,B61,IF(C$80=0,INDEX($B26:$K26,0,C$78),(INDEX($B26:$K26,0,C$80+1)-INDEX($B26:$K26,0,C$80))/(INDEX($B$5:$K$5,0,C$80+1)-INDEX($B$5:$K$5,0,C$80))+B61)))</f>
        <v>53.032389033699296</v>
      </c>
      <c r="D61" s="151">
        <f t="shared" si="84"/>
        <v>53.518394689132862</v>
      </c>
      <c r="E61" s="151">
        <f t="shared" si="84"/>
        <v>54.004400344566427</v>
      </c>
      <c r="F61" s="151">
        <f t="shared" si="84"/>
        <v>54.490406</v>
      </c>
      <c r="G61" s="151">
        <f t="shared" si="84"/>
        <v>55.024891060000002</v>
      </c>
      <c r="H61" s="151">
        <f t="shared" si="84"/>
        <v>55.559376120000003</v>
      </c>
      <c r="I61" s="151">
        <f t="shared" si="84"/>
        <v>56.093861180000005</v>
      </c>
      <c r="J61" s="151">
        <f t="shared" si="84"/>
        <v>56.628346240000006</v>
      </c>
      <c r="K61" s="151">
        <f t="shared" si="84"/>
        <v>57.162831300000001</v>
      </c>
      <c r="L61" s="151">
        <f t="shared" si="84"/>
        <v>57.704589573999996</v>
      </c>
      <c r="M61" s="151">
        <f t="shared" si="84"/>
        <v>58.246347847999992</v>
      </c>
      <c r="N61" s="151">
        <f t="shared" si="84"/>
        <v>58.788106121999988</v>
      </c>
      <c r="O61" s="151">
        <f t="shared" si="84"/>
        <v>59.329864395999984</v>
      </c>
      <c r="P61" s="151">
        <f t="shared" si="84"/>
        <v>59.871622669999994</v>
      </c>
      <c r="Q61" s="151">
        <f t="shared" si="84"/>
        <v>60.458559639999997</v>
      </c>
      <c r="R61" s="151">
        <f t="shared" si="84"/>
        <v>61.045496610000001</v>
      </c>
      <c r="S61" s="151">
        <f t="shared" si="84"/>
        <v>61.632433580000004</v>
      </c>
      <c r="T61" s="151">
        <f t="shared" si="84"/>
        <v>62.219370550000008</v>
      </c>
      <c r="U61" s="151">
        <f t="shared" si="84"/>
        <v>62.806307520000004</v>
      </c>
      <c r="V61" s="151">
        <f t="shared" si="84"/>
        <v>63.373317894000003</v>
      </c>
      <c r="W61" s="151">
        <f t="shared" si="84"/>
        <v>63.940328268000002</v>
      </c>
      <c r="X61" s="151">
        <f t="shared" si="84"/>
        <v>64.507338641999993</v>
      </c>
      <c r="Y61" s="151">
        <f t="shared" si="84"/>
        <v>65.074349015999985</v>
      </c>
      <c r="Z61" s="151">
        <f t="shared" si="84"/>
        <v>65.641359389999991</v>
      </c>
      <c r="AA61" s="151">
        <f t="shared" si="84"/>
        <v>66.230661597999998</v>
      </c>
      <c r="AB61" s="151">
        <f t="shared" si="84"/>
        <v>66.819963806000004</v>
      </c>
      <c r="AC61" s="151">
        <f t="shared" si="84"/>
        <v>67.409266014000011</v>
      </c>
      <c r="AD61" s="151">
        <f t="shared" si="84"/>
        <v>67.998568222000017</v>
      </c>
      <c r="AE61" s="151">
        <f t="shared" si="84"/>
        <v>68.587870429999995</v>
      </c>
      <c r="AF61" s="151">
        <f t="shared" si="84"/>
        <v>71.951396320000001</v>
      </c>
      <c r="AG61" s="151">
        <f t="shared" si="84"/>
        <v>75.196209429999996</v>
      </c>
      <c r="AH61" s="151"/>
      <c r="AI61" s="151"/>
      <c r="AJ61" s="151"/>
      <c r="AK61" s="151"/>
      <c r="AL61" s="151"/>
      <c r="AM61" s="151"/>
    </row>
    <row r="62" spans="1:41">
      <c r="A62" t="s">
        <v>410</v>
      </c>
      <c r="B62" s="4">
        <f t="shared" ref="B62:B68" si="85">B61+1</f>
        <v>19</v>
      </c>
      <c r="C62">
        <f>B30</f>
        <v>0.44199404226547501</v>
      </c>
      <c r="D62">
        <f>C62</f>
        <v>0.44199404226547501</v>
      </c>
      <c r="E62" s="151">
        <f t="shared" ref="E62:AG62" si="86">IF($E$84,IF(E$80=-1,F62,IF(E$80=99,D62,IF(E$80=0,INDEX($B30:$K30,0,E$78),(INDEX($B30:$K30,0,E$80+1)-INDEX($B30:$K30,0,E$80))/(INDEX($B$5:$K$5,0,E$80+1)-INDEX($B$5:$K$5,0,E$80))+D62))),0.442*(E$60^-0.767))</f>
        <v>0.4367424749706425</v>
      </c>
      <c r="F62" s="151">
        <f t="shared" si="86"/>
        <v>0.42623934038097749</v>
      </c>
      <c r="G62" s="151">
        <f t="shared" si="86"/>
        <v>0.42098777308614499</v>
      </c>
      <c r="H62" s="151">
        <f t="shared" si="86"/>
        <v>0.41573620579131249</v>
      </c>
      <c r="I62" s="151">
        <f t="shared" si="86"/>
        <v>0.41048463849647998</v>
      </c>
      <c r="J62" s="151">
        <f t="shared" si="86"/>
        <v>0.40523307120164748</v>
      </c>
      <c r="K62" s="151">
        <f t="shared" si="86"/>
        <v>0.39998150390681497</v>
      </c>
      <c r="L62" s="151">
        <f t="shared" si="86"/>
        <v>0.39577218161679034</v>
      </c>
      <c r="M62" s="151">
        <f t="shared" si="86"/>
        <v>0.39156285932676571</v>
      </c>
      <c r="N62" s="151">
        <f t="shared" si="86"/>
        <v>0.38735353703674108</v>
      </c>
      <c r="O62" s="151">
        <f t="shared" si="86"/>
        <v>0.38314421474671645</v>
      </c>
      <c r="P62" s="151">
        <f t="shared" si="86"/>
        <v>0.37893489245669187</v>
      </c>
      <c r="Q62" s="151">
        <f t="shared" si="86"/>
        <v>0.37306190044045773</v>
      </c>
      <c r="R62" s="151">
        <f t="shared" si="86"/>
        <v>0.36718890842422358</v>
      </c>
      <c r="S62" s="151">
        <f t="shared" si="86"/>
        <v>0.36131591640798943</v>
      </c>
      <c r="T62" s="151">
        <f t="shared" si="86"/>
        <v>0.35544292439175529</v>
      </c>
      <c r="U62" s="151">
        <f t="shared" si="86"/>
        <v>0.3495699323755212</v>
      </c>
      <c r="V62" s="151">
        <f t="shared" si="86"/>
        <v>0.34418625172088718</v>
      </c>
      <c r="W62" s="151">
        <f t="shared" si="86"/>
        <v>0.33880257106625317</v>
      </c>
      <c r="X62" s="151">
        <f t="shared" si="86"/>
        <v>0.33341889041161915</v>
      </c>
      <c r="Y62" s="151">
        <f t="shared" si="86"/>
        <v>0.32803520975698514</v>
      </c>
      <c r="Z62" s="151">
        <f t="shared" si="86"/>
        <v>0.32265152910235123</v>
      </c>
      <c r="AA62" s="151">
        <f t="shared" si="86"/>
        <v>0.31772921509357699</v>
      </c>
      <c r="AB62" s="151">
        <f t="shared" si="86"/>
        <v>0.31280690108480275</v>
      </c>
      <c r="AC62" s="151">
        <f t="shared" si="86"/>
        <v>0.3078845870760285</v>
      </c>
      <c r="AD62" s="151">
        <f t="shared" si="86"/>
        <v>0.30296227306725426</v>
      </c>
      <c r="AE62" s="151">
        <f t="shared" si="86"/>
        <v>0.29803995905848013</v>
      </c>
      <c r="AF62" s="151">
        <f t="shared" si="86"/>
        <v>0.27688472904921468</v>
      </c>
      <c r="AG62" s="151">
        <f t="shared" si="86"/>
        <v>0.26022095199914791</v>
      </c>
      <c r="AH62" s="151"/>
      <c r="AI62" s="151"/>
      <c r="AJ62" s="151"/>
      <c r="AK62" s="151"/>
      <c r="AL62" s="151"/>
      <c r="AM62" s="151"/>
    </row>
    <row r="63" spans="1:41">
      <c r="A63" s="4" t="s">
        <v>411</v>
      </c>
      <c r="B63" s="4">
        <f t="shared" si="85"/>
        <v>20</v>
      </c>
      <c r="C63" s="4">
        <f>B31</f>
        <v>0.32</v>
      </c>
      <c r="D63" s="4">
        <f>C63</f>
        <v>0.32</v>
      </c>
      <c r="E63" s="151">
        <f t="shared" ref="E63:AG63" si="87">IF($E$84,IF(E$80=-1,F63,IF(E$80=99,D63,IF(E$80=0,INDEX($B31:$K31,0,E$78),(INDEX($B31:$K31,0,E$80+1)-INDEX($B31:$K31,0,E$80))/(INDEX($B$5:$K$5,0,E$80+1)-INDEX($B$5:$K$5,0,E$80))+D63))),0.265*(E$60^0.1426))</f>
        <v>0.32165051815421025</v>
      </c>
      <c r="F63" s="151">
        <f t="shared" si="87"/>
        <v>0.32495155446263069</v>
      </c>
      <c r="G63" s="151">
        <f t="shared" si="87"/>
        <v>0.32637807402302194</v>
      </c>
      <c r="H63" s="151">
        <f t="shared" si="87"/>
        <v>0.32780459358341318</v>
      </c>
      <c r="I63" s="151">
        <f t="shared" si="87"/>
        <v>0.32923111314380443</v>
      </c>
      <c r="J63" s="151">
        <f t="shared" si="87"/>
        <v>0.33065763270419568</v>
      </c>
      <c r="K63" s="151">
        <f t="shared" si="87"/>
        <v>0.33208415226458682</v>
      </c>
      <c r="L63" s="151">
        <f t="shared" si="87"/>
        <v>0.33387800495682934</v>
      </c>
      <c r="M63" s="151">
        <f t="shared" si="87"/>
        <v>0.33567185764907187</v>
      </c>
      <c r="N63" s="151">
        <f t="shared" si="87"/>
        <v>0.3374657103413144</v>
      </c>
      <c r="O63" s="151">
        <f t="shared" si="87"/>
        <v>0.33925956303355692</v>
      </c>
      <c r="P63" s="151">
        <f t="shared" si="87"/>
        <v>0.34105341572579934</v>
      </c>
      <c r="Q63" s="151">
        <f t="shared" si="87"/>
        <v>0.34279773267465985</v>
      </c>
      <c r="R63" s="151">
        <f t="shared" si="87"/>
        <v>0.34454204962352036</v>
      </c>
      <c r="S63" s="151">
        <f t="shared" si="87"/>
        <v>0.34628636657238088</v>
      </c>
      <c r="T63" s="151">
        <f t="shared" si="87"/>
        <v>0.34803068352124139</v>
      </c>
      <c r="U63" s="151">
        <f t="shared" si="87"/>
        <v>0.3497750004701019</v>
      </c>
      <c r="V63" s="151">
        <f t="shared" si="87"/>
        <v>0.35156655448140028</v>
      </c>
      <c r="W63" s="151">
        <f t="shared" si="87"/>
        <v>0.35335810849269866</v>
      </c>
      <c r="X63" s="151">
        <f t="shared" si="87"/>
        <v>0.35514966250399704</v>
      </c>
      <c r="Y63" s="151">
        <f t="shared" si="87"/>
        <v>0.35694121651529542</v>
      </c>
      <c r="Z63" s="151">
        <f t="shared" si="87"/>
        <v>0.35873277052659369</v>
      </c>
      <c r="AA63" s="151">
        <f t="shared" si="87"/>
        <v>0.36058929219489327</v>
      </c>
      <c r="AB63" s="151">
        <f t="shared" si="87"/>
        <v>0.36244581386319286</v>
      </c>
      <c r="AC63" s="151">
        <f t="shared" si="87"/>
        <v>0.36430233553149244</v>
      </c>
      <c r="AD63" s="151">
        <f t="shared" si="87"/>
        <v>0.36615885719979202</v>
      </c>
      <c r="AE63" s="151">
        <f t="shared" si="87"/>
        <v>0.36801537886809155</v>
      </c>
      <c r="AF63" s="151">
        <f t="shared" si="87"/>
        <v>0.37419458270562483</v>
      </c>
      <c r="AG63" s="151">
        <f t="shared" si="87"/>
        <v>0.38089684319851058</v>
      </c>
      <c r="AH63" s="151"/>
      <c r="AI63" s="151"/>
      <c r="AJ63" s="151"/>
      <c r="AK63" s="151"/>
      <c r="AL63" s="151"/>
      <c r="AM63" s="151"/>
    </row>
    <row r="64" spans="1:41">
      <c r="A64" s="4" t="s">
        <v>412</v>
      </c>
      <c r="B64" s="4">
        <f t="shared" si="85"/>
        <v>21</v>
      </c>
      <c r="C64" s="4">
        <f>1-(SUM(C62:C63))</f>
        <v>0.23800595773452504</v>
      </c>
      <c r="D64" s="4">
        <f>1-(SUM(D62:D63))</f>
        <v>0.23800595773452504</v>
      </c>
      <c r="E64" s="4">
        <f>1-(SUM(E62:E63))</f>
        <v>0.24160700687514725</v>
      </c>
      <c r="F64" s="4">
        <f>1-(SUM(F62:F63))</f>
        <v>0.24880910515639187</v>
      </c>
      <c r="G64" s="4">
        <f>1-(SUM(G62:G63))</f>
        <v>0.25263415289083313</v>
      </c>
      <c r="H64" s="4">
        <f t="shared" ref="H64:AG64" si="88">1-(SUM(H62:H63))</f>
        <v>0.25645920062527439</v>
      </c>
      <c r="I64" s="4">
        <f t="shared" si="88"/>
        <v>0.26028424835971564</v>
      </c>
      <c r="J64" s="4">
        <f t="shared" si="88"/>
        <v>0.2641092960941569</v>
      </c>
      <c r="K64" s="4">
        <f t="shared" si="88"/>
        <v>0.26793434382859815</v>
      </c>
      <c r="L64" s="4">
        <f t="shared" si="88"/>
        <v>0.27034981342638031</v>
      </c>
      <c r="M64" s="4">
        <f t="shared" si="88"/>
        <v>0.27276528302416247</v>
      </c>
      <c r="N64" s="4">
        <f t="shared" si="88"/>
        <v>0.27518075262194452</v>
      </c>
      <c r="O64" s="4">
        <f t="shared" si="88"/>
        <v>0.27759622221972657</v>
      </c>
      <c r="P64" s="4">
        <f t="shared" si="88"/>
        <v>0.28001169181750885</v>
      </c>
      <c r="Q64" s="4">
        <f t="shared" si="88"/>
        <v>0.28414036688488242</v>
      </c>
      <c r="R64" s="4">
        <f t="shared" si="88"/>
        <v>0.288269041952256</v>
      </c>
      <c r="S64" s="4">
        <f t="shared" si="88"/>
        <v>0.29239771701962969</v>
      </c>
      <c r="T64" s="4">
        <f t="shared" si="88"/>
        <v>0.29652639208700338</v>
      </c>
      <c r="U64" s="4">
        <f t="shared" si="88"/>
        <v>0.30065506715437684</v>
      </c>
      <c r="V64" s="4">
        <f t="shared" si="88"/>
        <v>0.30424719379771248</v>
      </c>
      <c r="W64" s="4">
        <f t="shared" si="88"/>
        <v>0.30783932044104811</v>
      </c>
      <c r="X64" s="4">
        <f t="shared" si="88"/>
        <v>0.31143144708438375</v>
      </c>
      <c r="Y64" s="4">
        <f t="shared" si="88"/>
        <v>0.31502357372771939</v>
      </c>
      <c r="Z64" s="4">
        <f t="shared" si="88"/>
        <v>0.31861570037105502</v>
      </c>
      <c r="AA64" s="4">
        <f t="shared" si="88"/>
        <v>0.32168149271152968</v>
      </c>
      <c r="AB64" s="4">
        <f t="shared" si="88"/>
        <v>0.32474728505200434</v>
      </c>
      <c r="AC64" s="4">
        <f t="shared" si="88"/>
        <v>0.327813077392479</v>
      </c>
      <c r="AD64" s="4">
        <f t="shared" si="88"/>
        <v>0.33087886973295366</v>
      </c>
      <c r="AE64" s="4">
        <f t="shared" si="88"/>
        <v>0.33394466207342832</v>
      </c>
      <c r="AF64" s="4">
        <f t="shared" si="88"/>
        <v>0.34892068824516054</v>
      </c>
      <c r="AG64" s="4">
        <f t="shared" si="88"/>
        <v>0.35888220480234145</v>
      </c>
      <c r="AH64" s="151"/>
      <c r="AI64" s="151"/>
      <c r="AJ64" s="151"/>
      <c r="AK64" s="151"/>
      <c r="AL64" s="151"/>
      <c r="AM64" s="151"/>
    </row>
    <row r="65" spans="1:39">
      <c r="A65" t="s">
        <v>413</v>
      </c>
      <c r="B65" s="4">
        <f t="shared" si="85"/>
        <v>22</v>
      </c>
      <c r="C65" s="10">
        <f>C62*C$61</f>
        <v>23.44</v>
      </c>
      <c r="D65" s="10">
        <f t="shared" ref="D65:AG67" si="89">D62*D$61</f>
        <v>23.654811604208962</v>
      </c>
      <c r="E65" s="10">
        <f t="shared" si="89"/>
        <v>23.586015465791359</v>
      </c>
      <c r="F65" s="10">
        <f t="shared" si="89"/>
        <v>23.22595471053166</v>
      </c>
      <c r="G65" s="10">
        <f t="shared" si="89"/>
        <v>23.164806351657127</v>
      </c>
      <c r="H65" s="10">
        <f t="shared" si="89"/>
        <v>23.098044224261255</v>
      </c>
      <c r="I65" s="10">
        <f t="shared" si="89"/>
        <v>23.025668328344032</v>
      </c>
      <c r="J65" s="10">
        <f t="shared" si="89"/>
        <v>22.947678663905467</v>
      </c>
      <c r="K65" s="10">
        <f t="shared" si="89"/>
        <v>22.864075230945556</v>
      </c>
      <c r="L65" s="10">
        <f t="shared" si="89"/>
        <v>22.837871305003475</v>
      </c>
      <c r="M65" s="10">
        <f t="shared" si="89"/>
        <v>22.807106508704283</v>
      </c>
      <c r="N65" s="10">
        <f t="shared" si="89"/>
        <v>22.771780842047988</v>
      </c>
      <c r="O65" s="10">
        <f t="shared" si="89"/>
        <v>22.731894305034583</v>
      </c>
      <c r="P65" s="10">
        <f t="shared" si="89"/>
        <v>22.687446897664081</v>
      </c>
      <c r="Q65" s="10">
        <f t="shared" si="89"/>
        <v>22.554785157191155</v>
      </c>
      <c r="R65" s="10">
        <f t="shared" si="89"/>
        <v>22.415229264440541</v>
      </c>
      <c r="S65" s="10">
        <f t="shared" si="89"/>
        <v>22.268779219412242</v>
      </c>
      <c r="T65" s="10">
        <f t="shared" si="89"/>
        <v>22.115435022106258</v>
      </c>
      <c r="U65" s="10">
        <f t="shared" si="89"/>
        <v>21.95519667252259</v>
      </c>
      <c r="V65" s="10">
        <f t="shared" si="89"/>
        <v>21.812224745052088</v>
      </c>
      <c r="W65" s="10">
        <f t="shared" si="89"/>
        <v>21.663147612018626</v>
      </c>
      <c r="X65" s="10">
        <f t="shared" si="89"/>
        <v>21.507965273422201</v>
      </c>
      <c r="Y65" s="10">
        <f t="shared" si="89"/>
        <v>21.346677729262815</v>
      </c>
      <c r="Z65" s="10">
        <f t="shared" si="89"/>
        <v>21.17928497954048</v>
      </c>
      <c r="AA65" s="10">
        <f t="shared" si="89"/>
        <v>21.043416124660851</v>
      </c>
      <c r="AB65" s="10">
        <f t="shared" si="89"/>
        <v>20.901745808753542</v>
      </c>
      <c r="AC65" s="10">
        <f t="shared" si="89"/>
        <v>20.754274031818554</v>
      </c>
      <c r="AD65" s="10">
        <f t="shared" si="89"/>
        <v>20.601000793855889</v>
      </c>
      <c r="AE65" s="10">
        <f t="shared" si="89"/>
        <v>20.44192609486554</v>
      </c>
      <c r="AF65" s="10">
        <f t="shared" si="89"/>
        <v>19.922242874775861</v>
      </c>
      <c r="AG65" s="10">
        <f t="shared" si="89"/>
        <v>19.567629204601904</v>
      </c>
      <c r="AH65" s="10"/>
      <c r="AI65" s="10"/>
      <c r="AJ65" s="10"/>
      <c r="AK65" s="10"/>
      <c r="AL65" s="10"/>
      <c r="AM65" s="10"/>
    </row>
    <row r="66" spans="1:39">
      <c r="A66" s="4" t="s">
        <v>414</v>
      </c>
      <c r="B66" s="4">
        <f t="shared" si="85"/>
        <v>23</v>
      </c>
      <c r="C66" s="10">
        <f t="shared" ref="C66:R67" si="90">C63*C$61</f>
        <v>16.970364490783776</v>
      </c>
      <c r="D66" s="10">
        <f t="shared" si="90"/>
        <v>17.125886300522517</v>
      </c>
      <c r="E66" s="10">
        <f t="shared" si="90"/>
        <v>17.370543353437203</v>
      </c>
      <c r="F66" s="10">
        <f t="shared" si="90"/>
        <v>17.706742132999857</v>
      </c>
      <c r="G66" s="10">
        <f t="shared" si="90"/>
        <v>17.958917967489398</v>
      </c>
      <c r="H66" s="10">
        <f t="shared" si="90"/>
        <v>18.212618708764591</v>
      </c>
      <c r="I66" s="10">
        <f t="shared" si="90"/>
        <v>18.467844356825442</v>
      </c>
      <c r="J66" s="10">
        <f t="shared" si="90"/>
        <v>18.724594911671943</v>
      </c>
      <c r="K66" s="10">
        <f t="shared" si="90"/>
        <v>18.982870373304088</v>
      </c>
      <c r="L66" s="10">
        <f t="shared" si="90"/>
        <v>19.266293243819774</v>
      </c>
      <c r="M66" s="10">
        <f t="shared" si="90"/>
        <v>19.551659783412177</v>
      </c>
      <c r="N66" s="10">
        <f t="shared" si="90"/>
        <v>19.838969992081299</v>
      </c>
      <c r="O66" s="10">
        <f t="shared" si="90"/>
        <v>20.128223869827142</v>
      </c>
      <c r="P66" s="10">
        <f t="shared" si="90"/>
        <v>20.419421416649701</v>
      </c>
      <c r="Q66" s="10">
        <f t="shared" si="90"/>
        <v>20.725057165367698</v>
      </c>
      <c r="R66" s="10">
        <f t="shared" si="90"/>
        <v>21.032740522295065</v>
      </c>
      <c r="S66" s="10">
        <f t="shared" si="89"/>
        <v>21.342471487431798</v>
      </c>
      <c r="T66" s="10">
        <f t="shared" si="89"/>
        <v>21.654250060777901</v>
      </c>
      <c r="U66" s="10">
        <f t="shared" si="89"/>
        <v>21.968076242333368</v>
      </c>
      <c r="V66" s="10">
        <f t="shared" si="89"/>
        <v>22.279939018048051</v>
      </c>
      <c r="W66" s="10">
        <f t="shared" si="89"/>
        <v>22.593833453182711</v>
      </c>
      <c r="X66" s="10">
        <f t="shared" si="89"/>
        <v>22.909759547737345</v>
      </c>
      <c r="Y66" s="10">
        <f t="shared" si="89"/>
        <v>23.227717301711952</v>
      </c>
      <c r="Z66" s="10">
        <f t="shared" si="89"/>
        <v>23.547706715106532</v>
      </c>
      <c r="AA66" s="10">
        <f t="shared" si="89"/>
        <v>23.882067387222317</v>
      </c>
      <c r="AB66" s="10">
        <f t="shared" si="89"/>
        <v>24.218616163974762</v>
      </c>
      <c r="AC66" s="10">
        <f t="shared" si="89"/>
        <v>24.557353045363861</v>
      </c>
      <c r="AD66" s="10">
        <f t="shared" si="89"/>
        <v>24.898278031389619</v>
      </c>
      <c r="AE66" s="10">
        <f t="shared" si="89"/>
        <v>25.241391122052022</v>
      </c>
      <c r="AF66" s="10">
        <f t="shared" si="89"/>
        <v>26.923822721049429</v>
      </c>
      <c r="AG66" s="10">
        <f t="shared" si="89"/>
        <v>28.64199879238107</v>
      </c>
      <c r="AH66" s="10"/>
      <c r="AI66" s="10"/>
      <c r="AJ66" s="10"/>
      <c r="AK66" s="10"/>
      <c r="AL66" s="10"/>
      <c r="AM66" s="10"/>
    </row>
    <row r="67" spans="1:39">
      <c r="A67" s="4" t="s">
        <v>415</v>
      </c>
      <c r="B67" s="4">
        <f t="shared" si="85"/>
        <v>24</v>
      </c>
      <c r="C67" s="10">
        <f t="shared" si="90"/>
        <v>12.622024542915524</v>
      </c>
      <c r="D67" s="10">
        <f t="shared" si="89"/>
        <v>12.737696784401386</v>
      </c>
      <c r="E67" s="10">
        <f t="shared" si="89"/>
        <v>13.047841525337866</v>
      </c>
      <c r="F67" s="10">
        <f t="shared" si="89"/>
        <v>13.557709156468487</v>
      </c>
      <c r="G67" s="10">
        <f t="shared" si="89"/>
        <v>13.901166740853478</v>
      </c>
      <c r="H67" s="10">
        <f t="shared" si="89"/>
        <v>14.248713186974159</v>
      </c>
      <c r="I67" s="10">
        <f t="shared" si="89"/>
        <v>14.600348494830532</v>
      </c>
      <c r="J67" s="10">
        <f t="shared" si="89"/>
        <v>14.956072664422598</v>
      </c>
      <c r="K67" s="10">
        <f t="shared" si="89"/>
        <v>15.315885695750353</v>
      </c>
      <c r="L67" s="10">
        <f t="shared" si="89"/>
        <v>15.600425025176749</v>
      </c>
      <c r="M67" s="10">
        <f t="shared" si="89"/>
        <v>15.887581555883536</v>
      </c>
      <c r="N67" s="10">
        <f t="shared" si="89"/>
        <v>16.1773552878707</v>
      </c>
      <c r="O67" s="10">
        <f t="shared" si="89"/>
        <v>16.469746221138255</v>
      </c>
      <c r="P67" s="10">
        <f t="shared" si="89"/>
        <v>16.764754355686215</v>
      </c>
      <c r="Q67" s="10">
        <f t="shared" si="89"/>
        <v>17.178717317441144</v>
      </c>
      <c r="R67" s="10">
        <f t="shared" si="89"/>
        <v>17.597526823264392</v>
      </c>
      <c r="S67" s="10">
        <f t="shared" si="89"/>
        <v>18.021182873155965</v>
      </c>
      <c r="T67" s="10">
        <f t="shared" si="89"/>
        <v>18.449685467115852</v>
      </c>
      <c r="U67" s="10">
        <f t="shared" si="89"/>
        <v>18.883034605144044</v>
      </c>
      <c r="V67" s="10">
        <f t="shared" si="89"/>
        <v>19.281154130899861</v>
      </c>
      <c r="W67" s="10">
        <f t="shared" si="89"/>
        <v>19.683347202798661</v>
      </c>
      <c r="X67" s="10">
        <f t="shared" si="89"/>
        <v>20.089613820840444</v>
      </c>
      <c r="Y67" s="10">
        <f t="shared" si="89"/>
        <v>20.499953985025215</v>
      </c>
      <c r="Z67" s="10">
        <f t="shared" si="89"/>
        <v>20.914367695352976</v>
      </c>
      <c r="AA67" s="10">
        <f t="shared" si="89"/>
        <v>21.305178086116825</v>
      </c>
      <c r="AB67" s="10">
        <f t="shared" si="89"/>
        <v>21.699601833271696</v>
      </c>
      <c r="AC67" s="10">
        <f t="shared" si="89"/>
        <v>22.097638936817589</v>
      </c>
      <c r="AD67" s="10">
        <f t="shared" si="89"/>
        <v>22.499289396754506</v>
      </c>
      <c r="AE67" s="10">
        <f t="shared" si="89"/>
        <v>22.904553213082437</v>
      </c>
      <c r="AF67" s="10">
        <f t="shared" si="89"/>
        <v>25.10533072417471</v>
      </c>
      <c r="AG67" s="10">
        <f t="shared" si="89"/>
        <v>26.986581433017019</v>
      </c>
      <c r="AH67" s="10"/>
      <c r="AI67" s="10"/>
      <c r="AJ67" s="10"/>
      <c r="AK67" s="10"/>
      <c r="AL67" s="10"/>
      <c r="AM67" s="10"/>
    </row>
    <row r="68" spans="1:39">
      <c r="A68" t="s">
        <v>416</v>
      </c>
      <c r="B68" s="4">
        <f t="shared" si="85"/>
        <v>25</v>
      </c>
      <c r="C68">
        <v>1</v>
      </c>
      <c r="D68" s="151">
        <f t="shared" ref="D68:AG68" si="91">IF($E$84,IF(D$80=-1,E68,IF(D$80=99,C68,IF(D$80=0,INDEX($B36:$K36,0,D$78),(INDEX($B36:$K36,0,D$80+1)-INDEX($B36:$K36,0,D$80))/(INDEX($B$5:$K$5,0,D$80+1)-INDEX($B$5:$K$5,0,D$80))+C68))),0.8923*(D$60^0.4518))</f>
        <v>1.0202655733963399</v>
      </c>
      <c r="E68" s="151">
        <f t="shared" si="91"/>
        <v>1.0405311467926799</v>
      </c>
      <c r="F68" s="151">
        <f t="shared" si="91"/>
        <v>1.0607967201890196</v>
      </c>
      <c r="G68" s="151">
        <f t="shared" si="91"/>
        <v>1.0611482133681713</v>
      </c>
      <c r="H68" s="151">
        <f t="shared" si="91"/>
        <v>1.0614997065473231</v>
      </c>
      <c r="I68" s="151">
        <f t="shared" si="91"/>
        <v>1.0618511997264748</v>
      </c>
      <c r="J68" s="151">
        <f t="shared" si="91"/>
        <v>1.0622026929056265</v>
      </c>
      <c r="K68" s="151">
        <f t="shared" si="91"/>
        <v>1.0625541860847787</v>
      </c>
      <c r="L68" s="151">
        <f t="shared" si="91"/>
        <v>1.0651346956579488</v>
      </c>
      <c r="M68" s="151">
        <f t="shared" si="91"/>
        <v>1.067715205231119</v>
      </c>
      <c r="N68" s="151">
        <f t="shared" si="91"/>
        <v>1.0702957148042891</v>
      </c>
      <c r="O68" s="151">
        <f t="shared" si="91"/>
        <v>1.0728762243774592</v>
      </c>
      <c r="P68" s="151">
        <f t="shared" si="91"/>
        <v>1.0754567339506294</v>
      </c>
      <c r="Q68" s="151">
        <f t="shared" si="91"/>
        <v>1.0751362643836953</v>
      </c>
      <c r="R68" s="151">
        <f t="shared" si="91"/>
        <v>1.0748157948167611</v>
      </c>
      <c r="S68" s="151">
        <f t="shared" si="91"/>
        <v>1.074495325249827</v>
      </c>
      <c r="T68" s="151">
        <f t="shared" si="91"/>
        <v>1.0741748556828929</v>
      </c>
      <c r="U68" s="151">
        <f t="shared" si="91"/>
        <v>1.0738543861159591</v>
      </c>
      <c r="V68" s="151">
        <f t="shared" si="91"/>
        <v>1.0719009041492715</v>
      </c>
      <c r="W68" s="151">
        <f t="shared" si="91"/>
        <v>1.069947422182584</v>
      </c>
      <c r="X68" s="151">
        <f t="shared" si="91"/>
        <v>1.0679939402158964</v>
      </c>
      <c r="Y68" s="151">
        <f t="shared" si="91"/>
        <v>1.0660404582492089</v>
      </c>
      <c r="Z68" s="151">
        <f t="shared" si="91"/>
        <v>1.0640869762825218</v>
      </c>
      <c r="AA68" s="151">
        <f t="shared" si="91"/>
        <v>1.0663349833053644</v>
      </c>
      <c r="AB68" s="151">
        <f t="shared" si="91"/>
        <v>1.0685829903282069</v>
      </c>
      <c r="AC68" s="151">
        <f t="shared" si="91"/>
        <v>1.0708309973510495</v>
      </c>
      <c r="AD68" s="151">
        <f t="shared" si="91"/>
        <v>1.073079004373892</v>
      </c>
      <c r="AE68" s="151">
        <f t="shared" si="91"/>
        <v>1.0753270113967346</v>
      </c>
      <c r="AF68" s="151">
        <f t="shared" si="91"/>
        <v>1.0818701925063405</v>
      </c>
      <c r="AG68" s="151">
        <f t="shared" si="91"/>
        <v>1.0916445074168699</v>
      </c>
      <c r="AH68" s="151"/>
      <c r="AI68" s="151"/>
      <c r="AJ68" s="151"/>
      <c r="AK68" s="151"/>
      <c r="AL68" s="151"/>
      <c r="AM68" s="151"/>
    </row>
    <row r="69" spans="1:39">
      <c r="A69" s="4" t="s">
        <v>286</v>
      </c>
      <c r="B69" s="4"/>
      <c r="C69" s="130"/>
      <c r="D69" s="130">
        <f>(D68/C68)^(1/(D$76-C$76))-1</f>
        <v>2.0265573396339942E-2</v>
      </c>
      <c r="E69" s="130">
        <f t="shared" ref="E69:AG69" si="92">(E68/D68)^(1/(E$76-D$76))-1</f>
        <v>1.9863037550976292E-2</v>
      </c>
      <c r="F69" s="130">
        <f t="shared" si="92"/>
        <v>1.9476181427923622E-2</v>
      </c>
      <c r="G69" s="130">
        <f t="shared" si="92"/>
        <v>3.3134828988634624E-4</v>
      </c>
      <c r="H69" s="130">
        <f t="shared" si="92"/>
        <v>3.3123853456440422E-4</v>
      </c>
      <c r="I69" s="130">
        <f t="shared" si="92"/>
        <v>3.3112885192876362E-4</v>
      </c>
      <c r="J69" s="130">
        <f t="shared" si="92"/>
        <v>3.3101924190725995E-4</v>
      </c>
      <c r="K69" s="130">
        <f t="shared" si="92"/>
        <v>3.309097044281728E-4</v>
      </c>
      <c r="L69" s="130">
        <f t="shared" si="92"/>
        <v>2.428591037487271E-3</v>
      </c>
      <c r="M69" s="130">
        <f t="shared" si="92"/>
        <v>2.4227072723193022E-3</v>
      </c>
      <c r="N69" s="130">
        <f t="shared" si="92"/>
        <v>2.41685194752983E-3</v>
      </c>
      <c r="O69" s="130">
        <f t="shared" si="92"/>
        <v>2.4110248574078508E-3</v>
      </c>
      <c r="P69" s="130">
        <f t="shared" si="92"/>
        <v>2.405225798220556E-3</v>
      </c>
      <c r="Q69" s="130">
        <f t="shared" si="92"/>
        <v>-2.9798462068941767E-4</v>
      </c>
      <c r="R69" s="130">
        <f t="shared" si="92"/>
        <v>-2.9807344199095365E-4</v>
      </c>
      <c r="S69" s="130">
        <f t="shared" si="92"/>
        <v>-2.9816231625878764E-4</v>
      </c>
      <c r="T69" s="130">
        <f t="shared" si="92"/>
        <v>-2.9825124354043719E-4</v>
      </c>
      <c r="U69" s="130">
        <f t="shared" si="92"/>
        <v>-2.9834022388297576E-4</v>
      </c>
      <c r="V69" s="130">
        <f t="shared" si="92"/>
        <v>-1.81913115217891E-3</v>
      </c>
      <c r="W69" s="130">
        <f t="shared" si="92"/>
        <v>-1.8224464212369673E-3</v>
      </c>
      <c r="X69" s="130">
        <f t="shared" si="92"/>
        <v>-1.8257737961577813E-3</v>
      </c>
      <c r="Y69" s="130">
        <f t="shared" si="92"/>
        <v>-1.8291133433703255E-3</v>
      </c>
      <c r="Z69" s="130">
        <f t="shared" si="92"/>
        <v>-1.8324651297900729E-3</v>
      </c>
      <c r="AA69" s="130">
        <f t="shared" si="92"/>
        <v>2.1126158603088641E-3</v>
      </c>
      <c r="AB69" s="130">
        <f t="shared" si="92"/>
        <v>2.1081621235705672E-3</v>
      </c>
      <c r="AC69" s="130">
        <f t="shared" si="92"/>
        <v>2.1037271257258183E-3</v>
      </c>
      <c r="AD69" s="130">
        <f t="shared" si="92"/>
        <v>2.099310748758132E-3</v>
      </c>
      <c r="AE69" s="130">
        <f t="shared" si="92"/>
        <v>2.0949128756406754E-3</v>
      </c>
      <c r="AF69" s="130">
        <f t="shared" si="92"/>
        <v>1.2140145799883761E-3</v>
      </c>
      <c r="AG69" s="130">
        <f t="shared" si="92"/>
        <v>1.80043451814349E-3</v>
      </c>
      <c r="AH69" s="130"/>
      <c r="AI69" s="130"/>
      <c r="AJ69" s="130"/>
      <c r="AK69" s="130"/>
      <c r="AL69" s="130"/>
      <c r="AM69" s="130"/>
    </row>
    <row r="70" spans="1:39">
      <c r="L70" s="10"/>
    </row>
    <row r="71" spans="1:39">
      <c r="A71" s="4"/>
      <c r="B71" s="4">
        <v>0</v>
      </c>
      <c r="C71" s="4">
        <v>1</v>
      </c>
      <c r="D71" s="4">
        <v>2</v>
      </c>
      <c r="E71" s="4">
        <v>3</v>
      </c>
      <c r="F71" s="4">
        <v>4</v>
      </c>
      <c r="G71" s="4">
        <v>5</v>
      </c>
      <c r="H71" s="4">
        <v>6</v>
      </c>
      <c r="I71" s="4">
        <v>7</v>
      </c>
      <c r="J71" s="4">
        <v>8</v>
      </c>
      <c r="K71" s="4">
        <v>9</v>
      </c>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row>
    <row r="72" spans="1:39">
      <c r="A72" s="4"/>
      <c r="B72" s="4">
        <f t="shared" ref="B72:K72" si="93">VALUE(B25)</f>
        <v>2012</v>
      </c>
      <c r="C72" s="4">
        <f t="shared" si="93"/>
        <v>2015</v>
      </c>
      <c r="D72" s="4">
        <f t="shared" si="93"/>
        <v>2020</v>
      </c>
      <c r="E72" s="4">
        <f t="shared" si="93"/>
        <v>2025</v>
      </c>
      <c r="F72" s="4">
        <f t="shared" si="93"/>
        <v>2030</v>
      </c>
      <c r="G72" s="4">
        <f t="shared" si="93"/>
        <v>2035</v>
      </c>
      <c r="H72" s="4">
        <f t="shared" si="93"/>
        <v>2040</v>
      </c>
      <c r="I72" s="4">
        <f t="shared" si="93"/>
        <v>2045</v>
      </c>
      <c r="J72" s="4">
        <f t="shared" si="93"/>
        <v>2050</v>
      </c>
      <c r="K72" s="4">
        <f t="shared" si="93"/>
        <v>2055</v>
      </c>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row>
    <row r="73" spans="1:39">
      <c r="A73" s="4"/>
      <c r="B73" s="4">
        <f t="shared" ref="B73:K73" si="94">INDEX($B72:$K72,0,COUNT($B72:$K72)-B71)</f>
        <v>2055</v>
      </c>
      <c r="C73" s="4">
        <f t="shared" si="94"/>
        <v>2050</v>
      </c>
      <c r="D73" s="4">
        <f t="shared" si="94"/>
        <v>2045</v>
      </c>
      <c r="E73" s="4">
        <f t="shared" si="94"/>
        <v>2040</v>
      </c>
      <c r="F73" s="4">
        <f t="shared" si="94"/>
        <v>2035</v>
      </c>
      <c r="G73" s="4">
        <f t="shared" si="94"/>
        <v>2030</v>
      </c>
      <c r="H73" s="4">
        <f t="shared" si="94"/>
        <v>2025</v>
      </c>
      <c r="I73" s="4">
        <f t="shared" si="94"/>
        <v>2020</v>
      </c>
      <c r="J73" s="4">
        <f t="shared" si="94"/>
        <v>2015</v>
      </c>
      <c r="K73" s="4">
        <f t="shared" si="94"/>
        <v>2012</v>
      </c>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row>
    <row r="74" spans="1:39">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row>
    <row r="75" spans="1:39">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row>
    <row r="76" spans="1:39">
      <c r="B76" s="4"/>
      <c r="C76">
        <v>2012</v>
      </c>
      <c r="D76">
        <f t="shared" ref="D76:I76" si="95">C76+1</f>
        <v>2013</v>
      </c>
      <c r="E76" s="4">
        <f t="shared" si="95"/>
        <v>2014</v>
      </c>
      <c r="F76" s="4">
        <f t="shared" si="95"/>
        <v>2015</v>
      </c>
      <c r="G76" s="4">
        <f t="shared" si="95"/>
        <v>2016</v>
      </c>
      <c r="H76" s="4">
        <f t="shared" si="95"/>
        <v>2017</v>
      </c>
      <c r="I76" s="4">
        <f t="shared" si="95"/>
        <v>2018</v>
      </c>
      <c r="J76" s="4">
        <f t="shared" ref="J76:AE76" si="96">I76+1</f>
        <v>2019</v>
      </c>
      <c r="K76" s="4">
        <f t="shared" si="96"/>
        <v>2020</v>
      </c>
      <c r="L76" s="4">
        <f t="shared" si="96"/>
        <v>2021</v>
      </c>
      <c r="M76" s="4">
        <f t="shared" si="96"/>
        <v>2022</v>
      </c>
      <c r="N76" s="4">
        <f t="shared" si="96"/>
        <v>2023</v>
      </c>
      <c r="O76" s="4">
        <f t="shared" si="96"/>
        <v>2024</v>
      </c>
      <c r="P76" s="4">
        <f t="shared" si="96"/>
        <v>2025</v>
      </c>
      <c r="Q76" s="4">
        <f t="shared" si="96"/>
        <v>2026</v>
      </c>
      <c r="R76" s="4">
        <f t="shared" si="96"/>
        <v>2027</v>
      </c>
      <c r="S76" s="4">
        <f t="shared" si="96"/>
        <v>2028</v>
      </c>
      <c r="T76" s="4">
        <f t="shared" si="96"/>
        <v>2029</v>
      </c>
      <c r="U76" s="4">
        <f t="shared" si="96"/>
        <v>2030</v>
      </c>
      <c r="V76" s="4">
        <f t="shared" si="96"/>
        <v>2031</v>
      </c>
      <c r="W76" s="4">
        <f t="shared" si="96"/>
        <v>2032</v>
      </c>
      <c r="X76" s="4">
        <f t="shared" si="96"/>
        <v>2033</v>
      </c>
      <c r="Y76" s="4">
        <f t="shared" si="96"/>
        <v>2034</v>
      </c>
      <c r="Z76" s="4">
        <f t="shared" si="96"/>
        <v>2035</v>
      </c>
      <c r="AA76" s="4">
        <f t="shared" si="96"/>
        <v>2036</v>
      </c>
      <c r="AB76" s="4">
        <f t="shared" si="96"/>
        <v>2037</v>
      </c>
      <c r="AC76" s="4">
        <f t="shared" si="96"/>
        <v>2038</v>
      </c>
      <c r="AD76" s="4">
        <f t="shared" si="96"/>
        <v>2039</v>
      </c>
      <c r="AE76" s="4">
        <f t="shared" si="96"/>
        <v>2040</v>
      </c>
      <c r="AF76" s="4">
        <f>AE76+5</f>
        <v>2045</v>
      </c>
      <c r="AG76" s="4">
        <f>AF76+5</f>
        <v>2050</v>
      </c>
      <c r="AH76" s="4"/>
      <c r="AI76" s="4"/>
      <c r="AJ76" s="4"/>
      <c r="AK76" s="4"/>
      <c r="AL76" s="4"/>
      <c r="AM76" s="4"/>
    </row>
    <row r="77" spans="1:39">
      <c r="A77" s="15">
        <v>1</v>
      </c>
      <c r="B77" s="4" t="s">
        <v>404</v>
      </c>
      <c r="C77" s="4">
        <f t="shared" ref="C77:L78" si="97">MATCH(C$76,$B$72:$K$72,$A77)</f>
        <v>1</v>
      </c>
      <c r="D77" s="4">
        <f t="shared" si="97"/>
        <v>1</v>
      </c>
      <c r="E77" s="4">
        <f t="shared" si="97"/>
        <v>1</v>
      </c>
      <c r="F77" s="4">
        <f t="shared" si="97"/>
        <v>2</v>
      </c>
      <c r="G77" s="4">
        <f t="shared" si="97"/>
        <v>2</v>
      </c>
      <c r="H77" s="4">
        <f t="shared" si="97"/>
        <v>2</v>
      </c>
      <c r="I77" s="4">
        <f t="shared" si="97"/>
        <v>2</v>
      </c>
      <c r="J77" s="4">
        <f t="shared" si="97"/>
        <v>2</v>
      </c>
      <c r="K77" s="4">
        <f t="shared" si="97"/>
        <v>3</v>
      </c>
      <c r="L77" s="4">
        <f t="shared" si="97"/>
        <v>3</v>
      </c>
      <c r="M77" s="4">
        <f t="shared" ref="M77:V78" si="98">MATCH(M$76,$B$72:$K$72,$A77)</f>
        <v>3</v>
      </c>
      <c r="N77" s="4">
        <f t="shared" si="98"/>
        <v>3</v>
      </c>
      <c r="O77" s="4">
        <f t="shared" si="98"/>
        <v>3</v>
      </c>
      <c r="P77" s="4">
        <f t="shared" si="98"/>
        <v>4</v>
      </c>
      <c r="Q77" s="4">
        <f t="shared" si="98"/>
        <v>4</v>
      </c>
      <c r="R77" s="4">
        <f t="shared" si="98"/>
        <v>4</v>
      </c>
      <c r="S77" s="4">
        <f t="shared" si="98"/>
        <v>4</v>
      </c>
      <c r="T77" s="4">
        <f t="shared" si="98"/>
        <v>4</v>
      </c>
      <c r="U77" s="4">
        <f t="shared" si="98"/>
        <v>5</v>
      </c>
      <c r="V77" s="4">
        <f t="shared" si="98"/>
        <v>5</v>
      </c>
      <c r="W77" s="4">
        <f t="shared" ref="W77:AF78" si="99">MATCH(W$76,$B$72:$K$72,$A77)</f>
        <v>5</v>
      </c>
      <c r="X77" s="4">
        <f t="shared" si="99"/>
        <v>5</v>
      </c>
      <c r="Y77" s="4">
        <f t="shared" si="99"/>
        <v>5</v>
      </c>
      <c r="Z77" s="4">
        <f t="shared" si="99"/>
        <v>6</v>
      </c>
      <c r="AA77" s="4">
        <f t="shared" si="99"/>
        <v>6</v>
      </c>
      <c r="AB77" s="4">
        <f t="shared" si="99"/>
        <v>6</v>
      </c>
      <c r="AC77" s="4">
        <f t="shared" si="99"/>
        <v>6</v>
      </c>
      <c r="AD77" s="4">
        <f t="shared" si="99"/>
        <v>6</v>
      </c>
      <c r="AE77" s="4">
        <f t="shared" si="99"/>
        <v>7</v>
      </c>
      <c r="AF77" s="4">
        <f t="shared" si="99"/>
        <v>8</v>
      </c>
      <c r="AG77" s="4">
        <f>MATCH(AG$76,$B$72:$K$72,$A77)</f>
        <v>9</v>
      </c>
      <c r="AH77" s="4"/>
      <c r="AI77" s="4"/>
      <c r="AJ77" s="4"/>
      <c r="AK77" s="4"/>
      <c r="AL77" s="4"/>
      <c r="AM77" s="4"/>
    </row>
    <row r="78" spans="1:39">
      <c r="A78" s="15">
        <v>0</v>
      </c>
      <c r="B78" s="4" t="s">
        <v>405</v>
      </c>
      <c r="C78" s="4">
        <f t="shared" si="97"/>
        <v>1</v>
      </c>
      <c r="D78" s="4" t="e">
        <f t="shared" si="97"/>
        <v>#N/A</v>
      </c>
      <c r="E78" s="4" t="e">
        <f t="shared" si="97"/>
        <v>#N/A</v>
      </c>
      <c r="F78" s="4">
        <f t="shared" si="97"/>
        <v>2</v>
      </c>
      <c r="G78" s="4" t="e">
        <f t="shared" si="97"/>
        <v>#N/A</v>
      </c>
      <c r="H78" s="4" t="e">
        <f t="shared" si="97"/>
        <v>#N/A</v>
      </c>
      <c r="I78" s="4" t="e">
        <f t="shared" si="97"/>
        <v>#N/A</v>
      </c>
      <c r="J78" s="4" t="e">
        <f t="shared" si="97"/>
        <v>#N/A</v>
      </c>
      <c r="K78" s="4">
        <f t="shared" si="97"/>
        <v>3</v>
      </c>
      <c r="L78" s="4" t="e">
        <f t="shared" si="97"/>
        <v>#N/A</v>
      </c>
      <c r="M78" s="4" t="e">
        <f t="shared" si="98"/>
        <v>#N/A</v>
      </c>
      <c r="N78" s="4" t="e">
        <f t="shared" si="98"/>
        <v>#N/A</v>
      </c>
      <c r="O78" s="4" t="e">
        <f t="shared" si="98"/>
        <v>#N/A</v>
      </c>
      <c r="P78" s="4">
        <f t="shared" si="98"/>
        <v>4</v>
      </c>
      <c r="Q78" s="4" t="e">
        <f t="shared" si="98"/>
        <v>#N/A</v>
      </c>
      <c r="R78" s="4" t="e">
        <f t="shared" si="98"/>
        <v>#N/A</v>
      </c>
      <c r="S78" s="4" t="e">
        <f t="shared" si="98"/>
        <v>#N/A</v>
      </c>
      <c r="T78" s="4" t="e">
        <f t="shared" si="98"/>
        <v>#N/A</v>
      </c>
      <c r="U78" s="4">
        <f t="shared" si="98"/>
        <v>5</v>
      </c>
      <c r="V78" s="4" t="e">
        <f t="shared" si="98"/>
        <v>#N/A</v>
      </c>
      <c r="W78" s="4" t="e">
        <f t="shared" si="99"/>
        <v>#N/A</v>
      </c>
      <c r="X78" s="4" t="e">
        <f t="shared" si="99"/>
        <v>#N/A</v>
      </c>
      <c r="Y78" s="4" t="e">
        <f t="shared" si="99"/>
        <v>#N/A</v>
      </c>
      <c r="Z78" s="4">
        <f t="shared" si="99"/>
        <v>6</v>
      </c>
      <c r="AA78" s="4" t="e">
        <f t="shared" si="99"/>
        <v>#N/A</v>
      </c>
      <c r="AB78" s="4" t="e">
        <f t="shared" si="99"/>
        <v>#N/A</v>
      </c>
      <c r="AC78" s="4" t="e">
        <f t="shared" si="99"/>
        <v>#N/A</v>
      </c>
      <c r="AD78" s="4" t="e">
        <f t="shared" si="99"/>
        <v>#N/A</v>
      </c>
      <c r="AE78" s="4">
        <f t="shared" si="99"/>
        <v>7</v>
      </c>
      <c r="AF78" s="4">
        <f t="shared" si="99"/>
        <v>8</v>
      </c>
      <c r="AG78" s="4">
        <f>MATCH(AG$76,$B$72:$K$72,$A78)</f>
        <v>9</v>
      </c>
      <c r="AH78" s="4"/>
      <c r="AI78" s="4"/>
      <c r="AJ78" s="4"/>
      <c r="AK78" s="4"/>
      <c r="AL78" s="4"/>
      <c r="AM78" s="4"/>
    </row>
    <row r="79" spans="1:39">
      <c r="A79" s="15">
        <v>-1</v>
      </c>
      <c r="B79" s="4" t="s">
        <v>403</v>
      </c>
      <c r="C79" s="4">
        <f t="shared" ref="C79:AG79" si="100">MATCH(C$76,$B$73:$K$73,$A79)</f>
        <v>10</v>
      </c>
      <c r="D79" s="4">
        <f t="shared" si="100"/>
        <v>9</v>
      </c>
      <c r="E79" s="4">
        <f t="shared" si="100"/>
        <v>9</v>
      </c>
      <c r="F79" s="4">
        <f t="shared" si="100"/>
        <v>9</v>
      </c>
      <c r="G79" s="4">
        <f t="shared" si="100"/>
        <v>8</v>
      </c>
      <c r="H79" s="4">
        <f t="shared" si="100"/>
        <v>8</v>
      </c>
      <c r="I79" s="4">
        <f t="shared" si="100"/>
        <v>8</v>
      </c>
      <c r="J79" s="4">
        <f t="shared" si="100"/>
        <v>8</v>
      </c>
      <c r="K79" s="4">
        <f t="shared" si="100"/>
        <v>8</v>
      </c>
      <c r="L79" s="4">
        <f t="shared" si="100"/>
        <v>7</v>
      </c>
      <c r="M79" s="4">
        <f t="shared" si="100"/>
        <v>7</v>
      </c>
      <c r="N79" s="4">
        <f t="shared" si="100"/>
        <v>7</v>
      </c>
      <c r="O79" s="4">
        <f t="shared" si="100"/>
        <v>7</v>
      </c>
      <c r="P79" s="4">
        <f t="shared" si="100"/>
        <v>7</v>
      </c>
      <c r="Q79" s="4">
        <f t="shared" si="100"/>
        <v>6</v>
      </c>
      <c r="R79" s="4">
        <f t="shared" si="100"/>
        <v>6</v>
      </c>
      <c r="S79" s="4">
        <f t="shared" si="100"/>
        <v>6</v>
      </c>
      <c r="T79" s="4">
        <f t="shared" si="100"/>
        <v>6</v>
      </c>
      <c r="U79" s="4">
        <f t="shared" si="100"/>
        <v>6</v>
      </c>
      <c r="V79" s="4">
        <f t="shared" si="100"/>
        <v>5</v>
      </c>
      <c r="W79" s="4">
        <f t="shared" si="100"/>
        <v>5</v>
      </c>
      <c r="X79" s="4">
        <f t="shared" si="100"/>
        <v>5</v>
      </c>
      <c r="Y79" s="4">
        <f t="shared" si="100"/>
        <v>5</v>
      </c>
      <c r="Z79" s="4">
        <f t="shared" si="100"/>
        <v>5</v>
      </c>
      <c r="AA79" s="4">
        <f t="shared" si="100"/>
        <v>4</v>
      </c>
      <c r="AB79" s="4">
        <f t="shared" si="100"/>
        <v>4</v>
      </c>
      <c r="AC79" s="4">
        <f t="shared" si="100"/>
        <v>4</v>
      </c>
      <c r="AD79" s="4">
        <f t="shared" si="100"/>
        <v>4</v>
      </c>
      <c r="AE79" s="4">
        <f t="shared" si="100"/>
        <v>4</v>
      </c>
      <c r="AF79" s="4">
        <f t="shared" si="100"/>
        <v>3</v>
      </c>
      <c r="AG79" s="4">
        <f t="shared" si="100"/>
        <v>2</v>
      </c>
      <c r="AH79" s="4"/>
      <c r="AI79" s="4"/>
      <c r="AJ79" s="4"/>
      <c r="AK79" s="4"/>
      <c r="AL79" s="4"/>
      <c r="AM79" s="4"/>
    </row>
    <row r="80" spans="1:39">
      <c r="A80" s="4"/>
      <c r="B80" s="4" t="s">
        <v>406</v>
      </c>
      <c r="C80" s="5">
        <f>IF(ISNA(C77),-1,IF(ISNA(C79),99,IF(ISNA(C78),C77,0)))</f>
        <v>0</v>
      </c>
      <c r="D80" s="5">
        <f t="shared" ref="D80:AG80" si="101">IF(ISNA(D77),-1,IF(ISNA(D79),99,IF(ISNA(D78),D77,0)))</f>
        <v>1</v>
      </c>
      <c r="E80" s="5">
        <f t="shared" si="101"/>
        <v>1</v>
      </c>
      <c r="F80" s="5">
        <f t="shared" si="101"/>
        <v>0</v>
      </c>
      <c r="G80" s="5">
        <f t="shared" si="101"/>
        <v>2</v>
      </c>
      <c r="H80" s="5">
        <f t="shared" si="101"/>
        <v>2</v>
      </c>
      <c r="I80" s="5">
        <f t="shared" si="101"/>
        <v>2</v>
      </c>
      <c r="J80" s="5">
        <f t="shared" si="101"/>
        <v>2</v>
      </c>
      <c r="K80" s="5">
        <f t="shared" si="101"/>
        <v>0</v>
      </c>
      <c r="L80" s="5">
        <f t="shared" si="101"/>
        <v>3</v>
      </c>
      <c r="M80" s="5">
        <f t="shared" si="101"/>
        <v>3</v>
      </c>
      <c r="N80" s="5">
        <f t="shared" si="101"/>
        <v>3</v>
      </c>
      <c r="O80" s="5">
        <f t="shared" si="101"/>
        <v>3</v>
      </c>
      <c r="P80" s="5">
        <f t="shared" si="101"/>
        <v>0</v>
      </c>
      <c r="Q80" s="5">
        <f t="shared" si="101"/>
        <v>4</v>
      </c>
      <c r="R80" s="5">
        <f t="shared" si="101"/>
        <v>4</v>
      </c>
      <c r="S80" s="5">
        <f t="shared" si="101"/>
        <v>4</v>
      </c>
      <c r="T80" s="5">
        <f t="shared" si="101"/>
        <v>4</v>
      </c>
      <c r="U80" s="5">
        <f t="shared" si="101"/>
        <v>0</v>
      </c>
      <c r="V80" s="5">
        <f t="shared" si="101"/>
        <v>5</v>
      </c>
      <c r="W80" s="5">
        <f t="shared" si="101"/>
        <v>5</v>
      </c>
      <c r="X80" s="5">
        <f t="shared" si="101"/>
        <v>5</v>
      </c>
      <c r="Y80" s="5">
        <f t="shared" si="101"/>
        <v>5</v>
      </c>
      <c r="Z80" s="5">
        <f t="shared" si="101"/>
        <v>0</v>
      </c>
      <c r="AA80" s="5">
        <f t="shared" si="101"/>
        <v>6</v>
      </c>
      <c r="AB80" s="5">
        <f t="shared" si="101"/>
        <v>6</v>
      </c>
      <c r="AC80" s="5">
        <f t="shared" si="101"/>
        <v>6</v>
      </c>
      <c r="AD80" s="5">
        <f t="shared" si="101"/>
        <v>6</v>
      </c>
      <c r="AE80" s="5">
        <f t="shared" si="101"/>
        <v>0</v>
      </c>
      <c r="AF80" s="5">
        <f t="shared" si="101"/>
        <v>0</v>
      </c>
      <c r="AG80" s="5">
        <f t="shared" si="101"/>
        <v>0</v>
      </c>
      <c r="AH80" s="5"/>
      <c r="AI80" s="5"/>
      <c r="AJ80" s="5"/>
      <c r="AK80" s="5"/>
      <c r="AL80" s="5"/>
      <c r="AM80" s="5"/>
    </row>
    <row r="83" spans="1:6">
      <c r="A83" s="4"/>
    </row>
    <row r="84" spans="1:6">
      <c r="A84" s="158" t="s">
        <v>476</v>
      </c>
      <c r="E84" s="29">
        <v>1</v>
      </c>
      <c r="F84" t="s">
        <v>423</v>
      </c>
    </row>
    <row r="86" spans="1:6" s="4" customFormat="1"/>
    <row r="87" spans="1:6" s="4" customFormat="1"/>
    <row r="88" spans="1:6" s="4" customFormat="1"/>
    <row r="89" spans="1:6" s="4" customFormat="1"/>
    <row r="90" spans="1:6" s="4" customFormat="1"/>
    <row r="91" spans="1:6" s="4" customFormat="1"/>
    <row r="92" spans="1:6" s="4" customFormat="1"/>
    <row r="93" spans="1:6" s="4" customFormat="1"/>
    <row r="94" spans="1:6" s="4" customFormat="1"/>
    <row r="95" spans="1:6" s="4" customFormat="1"/>
    <row r="96" spans="1:6" s="4" customFormat="1"/>
    <row r="97" spans="2:11" s="4" customFormat="1"/>
    <row r="98" spans="2:11" s="4" customFormat="1"/>
    <row r="99" spans="2:11" s="4" customFormat="1"/>
    <row r="100" spans="2:11" s="4" customFormat="1"/>
    <row r="101" spans="2:11" s="4" customFormat="1"/>
    <row r="102" spans="2:11" s="4" customFormat="1"/>
    <row r="103" spans="2:11" s="4" customFormat="1"/>
    <row r="104" spans="2:11" s="4" customFormat="1"/>
    <row r="105" spans="2:11" s="4" customFormat="1"/>
    <row r="106" spans="2:11" s="4" customFormat="1"/>
    <row r="109" spans="2:11">
      <c r="C109" s="4"/>
      <c r="D109" s="4"/>
      <c r="E109" s="4"/>
      <c r="F109" s="4"/>
      <c r="G109" s="4"/>
      <c r="H109" s="4"/>
      <c r="I109" s="4"/>
      <c r="J109" s="4"/>
      <c r="K109" s="4"/>
    </row>
    <row r="110" spans="2:11">
      <c r="B110" s="6"/>
      <c r="C110" s="6"/>
      <c r="D110" s="6"/>
      <c r="E110" s="6"/>
      <c r="F110" s="6"/>
      <c r="G110" s="6"/>
      <c r="H110" s="6"/>
      <c r="I110" s="6"/>
      <c r="J110" s="6"/>
      <c r="K110" s="6"/>
    </row>
  </sheetData>
  <pageMargins left="0.7" right="0.7" top="0.75" bottom="0.75" header="0.3" footer="0.3"/>
  <pageSetup paperSize="9" orientation="portrait"/>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52" zoomScale="70" zoomScaleNormal="70" workbookViewId="0">
      <selection activeCell="A83" sqref="A83:XFD83"/>
    </sheetView>
  </sheetViews>
  <sheetFormatPr defaultColWidth="8.88671875" defaultRowHeight="14.4"/>
  <cols>
    <col min="4" max="4" width="8.88671875" style="4"/>
    <col min="7" max="7" width="9.88671875" customWidth="1"/>
    <col min="15" max="15" width="8.88671875" style="234"/>
    <col min="20" max="20" width="10.109375" style="234" customWidth="1"/>
    <col min="25" max="25" width="8.88671875" style="82"/>
  </cols>
  <sheetData>
    <row r="4" spans="1:56">
      <c r="B4">
        <v>2006</v>
      </c>
      <c r="G4">
        <f>AGR!J21</f>
        <v>2012</v>
      </c>
      <c r="H4" s="4">
        <f>AGR!K21</f>
        <v>2013</v>
      </c>
      <c r="I4" s="4">
        <f>AGR!L21</f>
        <v>2014</v>
      </c>
      <c r="J4" s="4">
        <f>AGR!M21</f>
        <v>2015</v>
      </c>
      <c r="K4" s="4">
        <f>AGR!N21</f>
        <v>2016</v>
      </c>
      <c r="L4" s="4">
        <f>AGR!O21</f>
        <v>2017</v>
      </c>
      <c r="M4" s="4">
        <f>AGR!P21</f>
        <v>2018</v>
      </c>
      <c r="N4" s="4">
        <f>AGR!Q21</f>
        <v>2019</v>
      </c>
      <c r="O4" s="234">
        <f>AGR!R21</f>
        <v>2020</v>
      </c>
      <c r="P4" s="4">
        <f>AGR!S21</f>
        <v>2021</v>
      </c>
      <c r="Q4" s="4">
        <f>AGR!T21</f>
        <v>2022</v>
      </c>
      <c r="R4" s="4">
        <f>AGR!U21</f>
        <v>2023</v>
      </c>
      <c r="S4" s="4">
        <f>AGR!V21</f>
        <v>2024</v>
      </c>
      <c r="T4" s="234">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317</v>
      </c>
      <c r="B5">
        <v>3.4886478690149998</v>
      </c>
      <c r="E5" s="153">
        <f>MATCH(F5,AGR!$D$22:$D$26,0)</f>
        <v>1</v>
      </c>
      <c r="F5" t="str">
        <f>A5</f>
        <v>AH</v>
      </c>
      <c r="G5" s="151">
        <f ca="1">OFFSET(AGR!J$21,$E5,0)</f>
        <v>2.5043970166379772</v>
      </c>
      <c r="H5" s="151">
        <f ca="1">OFFSET(AGR!K$21,$E5,0)</f>
        <v>2.5790322925741314</v>
      </c>
      <c r="I5" s="151">
        <f ca="1">OFFSET(AGR!L$21,$E5,0)</f>
        <v>2.65589182623662</v>
      </c>
      <c r="J5" s="151">
        <f ca="1">OFFSET(AGR!M$21,$E5,0)</f>
        <v>2.7327513598991087</v>
      </c>
      <c r="K5" s="151">
        <f ca="1">OFFSET(AGR!N$21,$E5,0)</f>
        <v>2.8096108935615978</v>
      </c>
      <c r="L5" s="151">
        <f ca="1">OFFSET(AGR!O$21,$E5,0)</f>
        <v>2.8259138972179425</v>
      </c>
      <c r="M5" s="151">
        <f ca="1">OFFSET(AGR!P$21,$E5,0)</f>
        <v>2.8422169008742872</v>
      </c>
      <c r="N5" s="151">
        <f ca="1">OFFSET(AGR!Q$21,$E5,0)</f>
        <v>2.8585199045306324</v>
      </c>
      <c r="O5" s="245">
        <f ca="1">OFFSET(AGR!R$21,$E5,0)</f>
        <v>2.8748229081869772</v>
      </c>
      <c r="P5" s="151">
        <f ca="1">OFFSET(AGR!S$21,$E5,0)</f>
        <v>2.891125911843321</v>
      </c>
      <c r="Q5" s="151">
        <f ca="1">OFFSET(AGR!T$21,$E5,0)</f>
        <v>2.9450715088293058</v>
      </c>
      <c r="R5" s="151">
        <f ca="1">OFFSET(AGR!U$21,$E5,0)</f>
        <v>2.9990171058152901</v>
      </c>
      <c r="S5" s="151">
        <f ca="1">OFFSET(AGR!V$21,$E5,0)</f>
        <v>3.0529627028012749</v>
      </c>
      <c r="T5" s="245">
        <f ca="1">OFFSET(AGR!W$21,$E5,0)</f>
        <v>3.1069082997872597</v>
      </c>
      <c r="U5" s="151">
        <f ca="1">OFFSET(AGR!X$21,$E5,0)</f>
        <v>3.160853896773244</v>
      </c>
      <c r="V5" s="151">
        <f ca="1">OFFSET(AGR!Y$21,$E5,0)</f>
        <v>3.232210929585833</v>
      </c>
      <c r="W5" s="151">
        <f ca="1">OFFSET(AGR!Z$21,$E5,0)</f>
        <v>3.3035679623984224</v>
      </c>
      <c r="X5" s="151">
        <f ca="1">OFFSET(AGR!AA$21,$E5,0)</f>
        <v>3.374924995211011</v>
      </c>
      <c r="Y5" s="247">
        <f ca="1">OFFSET(AGR!AB$21,$E5,0)</f>
        <v>3.4462820280236004</v>
      </c>
      <c r="Z5" s="151">
        <f ca="1">OFFSET(AGR!AC$21,$E5,0)</f>
        <v>3.5176390608361894</v>
      </c>
      <c r="AA5" s="151">
        <f ca="1">OFFSET(AGR!AD$21,$E5,0)</f>
        <v>3.5754539882401248</v>
      </c>
      <c r="AB5" s="151">
        <f ca="1">OFFSET(AGR!AE$21,$E5,0)</f>
        <v>3.6332689156440607</v>
      </c>
      <c r="AC5" s="151">
        <f ca="1">OFFSET(AGR!AF$21,$E5,0)</f>
        <v>3.6910838430479962</v>
      </c>
      <c r="AD5" s="151">
        <f ca="1">OFFSET(AGR!AG$21,$E5,0)</f>
        <v>3.7488987704519321</v>
      </c>
      <c r="AE5" s="151">
        <f ca="1">OFFSET(AGR!AH$21,$E5,0)</f>
        <v>3.8067136978558676</v>
      </c>
      <c r="AF5" s="151">
        <f ca="1">OFFSET(AGR!AI$21,$E5,0)</f>
        <v>3.8756557543071692</v>
      </c>
      <c r="AG5" s="151">
        <f ca="1">OFFSET(AGR!AJ$21,$E5,0)</f>
        <v>3.9445978107584709</v>
      </c>
      <c r="AH5" s="151">
        <f ca="1">OFFSET(AGR!AK$21,$E5,0)</f>
        <v>4.0135398672097722</v>
      </c>
      <c r="AI5" s="151">
        <f ca="1">OFFSET(AGR!AL$21,$E5,0)</f>
        <v>4.0824819236610743</v>
      </c>
      <c r="AJ5" s="151">
        <f ca="1">OFFSET(AGR!AM$21,$E5,0)</f>
        <v>4.1514239801123773</v>
      </c>
      <c r="AK5" s="151">
        <f ca="1">OFFSET(AGR!AN$21,$E5,0)</f>
        <v>4.4657879938091609</v>
      </c>
      <c r="AL5" s="151">
        <f ca="1">OFFSET(AGR!AO$21,$E5,0)</f>
        <v>4.8059679801539854</v>
      </c>
      <c r="AM5" s="151">
        <f ca="1">OFFSET(AGR!AP$21,$E5,0)</f>
        <v>4.8059679801539854</v>
      </c>
      <c r="AQ5" s="4"/>
    </row>
    <row r="6" spans="1:56">
      <c r="A6" s="36" t="s">
        <v>318</v>
      </c>
      <c r="B6">
        <v>6.8942225938929997</v>
      </c>
      <c r="E6" s="154">
        <f>MATCH(F6,AGR!$D$22:$D$26,0)</f>
        <v>4</v>
      </c>
      <c r="F6" s="4" t="str">
        <f t="shared" ref="F6:F68" si="0">A6</f>
        <v>AI</v>
      </c>
      <c r="G6" s="151">
        <f ca="1">OFFSET(AGR!J$21,$E6,0)</f>
        <v>4.8851919315217742</v>
      </c>
      <c r="H6" s="151">
        <f ca="1">OFFSET(AGR!K$21,$E6,0)</f>
        <v>5.0307789312618034</v>
      </c>
      <c r="I6" s="151">
        <f ca="1">OFFSET(AGR!L$21,$E6,0)</f>
        <v>5.1807046703575041</v>
      </c>
      <c r="J6" s="151">
        <f ca="1">OFFSET(AGR!M$21,$E6,0)</f>
        <v>5.3306304094532049</v>
      </c>
      <c r="K6" s="151">
        <f ca="1">OFFSET(AGR!N$21,$E6,0)</f>
        <v>5.4805561485489065</v>
      </c>
      <c r="L6" s="151">
        <f ca="1">OFFSET(AGR!O$21,$E6,0)</f>
        <v>5.5123575368241822</v>
      </c>
      <c r="M6" s="151">
        <f ca="1">OFFSET(AGR!P$21,$E6,0)</f>
        <v>5.5441589250994578</v>
      </c>
      <c r="N6" s="151">
        <f ca="1">OFFSET(AGR!Q$21,$E6,0)</f>
        <v>5.5759603133747344</v>
      </c>
      <c r="O6" s="245">
        <f ca="1">OFFSET(AGR!R$21,$E6,0)</f>
        <v>5.6077617016500101</v>
      </c>
      <c r="P6" s="151">
        <f ca="1">OFFSET(AGR!S$21,$E6,0)</f>
        <v>5.639563089925284</v>
      </c>
      <c r="Q6" s="151">
        <f ca="1">OFFSET(AGR!T$21,$E6,0)</f>
        <v>5.7447918509349254</v>
      </c>
      <c r="R6" s="151">
        <f ca="1">OFFSET(AGR!U$21,$E6,0)</f>
        <v>5.8500206119445668</v>
      </c>
      <c r="S6" s="151">
        <f ca="1">OFFSET(AGR!V$21,$E6,0)</f>
        <v>5.9552493729542091</v>
      </c>
      <c r="T6" s="245">
        <f ca="1">OFFSET(AGR!W$21,$E6,0)</f>
        <v>6.0604781339638514</v>
      </c>
      <c r="U6" s="151">
        <f ca="1">OFFSET(AGR!X$21,$E6,0)</f>
        <v>6.1657068949734928</v>
      </c>
      <c r="V6" s="151">
        <f ca="1">OFFSET(AGR!Y$21,$E6,0)</f>
        <v>6.3048992029971478</v>
      </c>
      <c r="W6" s="151">
        <f ca="1">OFFSET(AGR!Z$21,$E6,0)</f>
        <v>6.4440915110208028</v>
      </c>
      <c r="X6" s="151">
        <f ca="1">OFFSET(AGR!AA$21,$E6,0)</f>
        <v>6.5832838190444569</v>
      </c>
      <c r="Y6" s="247">
        <f ca="1">OFFSET(AGR!AB$21,$E6,0)</f>
        <v>6.7224761270681119</v>
      </c>
      <c r="Z6" s="151">
        <f ca="1">OFFSET(AGR!AC$21,$E6,0)</f>
        <v>6.861668435091766</v>
      </c>
      <c r="AA6" s="151">
        <f ca="1">OFFSET(AGR!AD$21,$E6,0)</f>
        <v>6.9744448898626556</v>
      </c>
      <c r="AB6" s="151">
        <f ca="1">OFFSET(AGR!AE$21,$E6,0)</f>
        <v>7.0872213446335453</v>
      </c>
      <c r="AC6" s="151">
        <f ca="1">OFFSET(AGR!AF$21,$E6,0)</f>
        <v>7.1999977994044349</v>
      </c>
      <c r="AD6" s="151">
        <f ca="1">OFFSET(AGR!AG$21,$E6,0)</f>
        <v>7.3127742541753253</v>
      </c>
      <c r="AE6" s="151">
        <f ca="1">OFFSET(AGR!AH$21,$E6,0)</f>
        <v>7.4255507089462149</v>
      </c>
      <c r="AF6" s="151">
        <f ca="1">OFFSET(AGR!AI$21,$E6,0)</f>
        <v>7.5600322530787611</v>
      </c>
      <c r="AG6" s="151">
        <f ca="1">OFFSET(AGR!AJ$21,$E6,0)</f>
        <v>7.6945137972113073</v>
      </c>
      <c r="AH6" s="151">
        <f ca="1">OFFSET(AGR!AK$21,$E6,0)</f>
        <v>7.8289953413438536</v>
      </c>
      <c r="AI6" s="151">
        <f ca="1">OFFSET(AGR!AL$21,$E6,0)</f>
        <v>7.9634768854764006</v>
      </c>
      <c r="AJ6" s="151">
        <f ca="1">OFFSET(AGR!AM$21,$E6,0)</f>
        <v>8.0979584296089495</v>
      </c>
      <c r="AK6" s="151">
        <f ca="1">OFFSET(AGR!AN$21,$E6,0)</f>
        <v>8.7111713239981796</v>
      </c>
      <c r="AL6" s="151">
        <f ca="1">OFFSET(AGR!AO$21,$E6,0)</f>
        <v>9.3747420412272984</v>
      </c>
      <c r="AM6" s="151">
        <f ca="1">OFFSET(AGR!AP$21,$E6,0)</f>
        <v>9.3747420412272984</v>
      </c>
      <c r="AQ6" s="4"/>
    </row>
    <row r="7" spans="1:56">
      <c r="A7" s="36" t="s">
        <v>319</v>
      </c>
      <c r="B7">
        <v>8.6660070567129992</v>
      </c>
      <c r="E7" s="154">
        <f>MATCH(F7,AGR!$D$22:$D$26,0)</f>
        <v>5</v>
      </c>
      <c r="F7" s="4" t="str">
        <f t="shared" si="0"/>
        <v>AO</v>
      </c>
      <c r="G7" s="151">
        <f ca="1">OFFSET(AGR!J$21,$E7,0)</f>
        <v>8.4310585921569263</v>
      </c>
      <c r="H7" s="151">
        <f ca="1">OFFSET(AGR!K$21,$E7,0)</f>
        <v>8.6823184284684469</v>
      </c>
      <c r="I7" s="151">
        <f ca="1">OFFSET(AGR!L$21,$E7,0)</f>
        <v>8.9410662337761764</v>
      </c>
      <c r="J7" s="151">
        <f ca="1">OFFSET(AGR!M$21,$E7,0)</f>
        <v>9.1998140390839058</v>
      </c>
      <c r="K7" s="151">
        <f ca="1">OFFSET(AGR!N$21,$E7,0)</f>
        <v>9.4585618443916371</v>
      </c>
      <c r="L7" s="151">
        <f ca="1">OFFSET(AGR!O$21,$E7,0)</f>
        <v>9.5134459454912754</v>
      </c>
      <c r="M7" s="151">
        <f ca="1">OFFSET(AGR!P$21,$E7,0)</f>
        <v>9.5683300465909138</v>
      </c>
      <c r="N7" s="151">
        <f ca="1">OFFSET(AGR!Q$21,$E7,0)</f>
        <v>9.6232141476905539</v>
      </c>
      <c r="O7" s="245">
        <f ca="1">OFFSET(AGR!R$21,$E7,0)</f>
        <v>9.6780982487901923</v>
      </c>
      <c r="P7" s="151">
        <f ca="1">OFFSET(AGR!S$21,$E7,0)</f>
        <v>9.7329823498898289</v>
      </c>
      <c r="Q7" s="151">
        <f ca="1">OFFSET(AGR!T$21,$E7,0)</f>
        <v>9.9145903321530771</v>
      </c>
      <c r="R7" s="151">
        <f ca="1">OFFSET(AGR!U$21,$E7,0)</f>
        <v>10.096198314416323</v>
      </c>
      <c r="S7" s="151">
        <f ca="1">OFFSET(AGR!V$21,$E7,0)</f>
        <v>10.277806296679572</v>
      </c>
      <c r="T7" s="245">
        <f ca="1">OFFSET(AGR!W$21,$E7,0)</f>
        <v>10.45941427894282</v>
      </c>
      <c r="U7" s="151">
        <f ca="1">OFFSET(AGR!X$21,$E7,0)</f>
        <v>10.641022261206066</v>
      </c>
      <c r="V7" s="151">
        <f ca="1">OFFSET(AGR!Y$21,$E7,0)</f>
        <v>10.881245884141475</v>
      </c>
      <c r="W7" s="151">
        <f ca="1">OFFSET(AGR!Z$21,$E7,0)</f>
        <v>11.121469507076885</v>
      </c>
      <c r="X7" s="151">
        <f ca="1">OFFSET(AGR!AA$21,$E7,0)</f>
        <v>11.361693130012291</v>
      </c>
      <c r="Y7" s="247">
        <f ca="1">OFFSET(AGR!AB$21,$E7,0)</f>
        <v>11.601916752947702</v>
      </c>
      <c r="Z7" s="151">
        <f ca="1">OFFSET(AGR!AC$21,$E7,0)</f>
        <v>11.84214037588311</v>
      </c>
      <c r="AA7" s="151">
        <f ca="1">OFFSET(AGR!AD$21,$E7,0)</f>
        <v>12.03677446832355</v>
      </c>
      <c r="AB7" s="151">
        <f ca="1">OFFSET(AGR!AE$21,$E7,0)</f>
        <v>12.231408560763992</v>
      </c>
      <c r="AC7" s="151">
        <f ca="1">OFFSET(AGR!AF$21,$E7,0)</f>
        <v>12.426042653204433</v>
      </c>
      <c r="AD7" s="151">
        <f ca="1">OFFSET(AGR!AG$21,$E7,0)</f>
        <v>12.620676745644875</v>
      </c>
      <c r="AE7" s="151">
        <f ca="1">OFFSET(AGR!AH$21,$E7,0)</f>
        <v>12.815310838085317</v>
      </c>
      <c r="AF7" s="151">
        <f ca="1">OFFSET(AGR!AI$21,$E7,0)</f>
        <v>13.047404437280312</v>
      </c>
      <c r="AG7" s="151">
        <f ca="1">OFFSET(AGR!AJ$21,$E7,0)</f>
        <v>13.279498036475307</v>
      </c>
      <c r="AH7" s="151">
        <f ca="1">OFFSET(AGR!AK$21,$E7,0)</f>
        <v>13.511591635670301</v>
      </c>
      <c r="AI7" s="151">
        <f ca="1">OFFSET(AGR!AL$21,$E7,0)</f>
        <v>13.743685234865296</v>
      </c>
      <c r="AJ7" s="151">
        <f ca="1">OFFSET(AGR!AM$21,$E7,0)</f>
        <v>13.975778834060296</v>
      </c>
      <c r="AK7" s="151">
        <f ca="1">OFFSET(AGR!AN$21,$E7,0)</f>
        <v>15.034086043793863</v>
      </c>
      <c r="AL7" s="151">
        <f ca="1">OFFSET(AGR!AO$21,$E7,0)</f>
        <v>16.179302787664053</v>
      </c>
      <c r="AM7" s="151">
        <f ca="1">OFFSET(AGR!AP$21,$E7,0)</f>
        <v>16.179302787664053</v>
      </c>
      <c r="AQ7" s="4"/>
    </row>
    <row r="8" spans="1:56">
      <c r="A8" s="36" t="s">
        <v>320</v>
      </c>
      <c r="B8">
        <v>5.4851590254799998</v>
      </c>
      <c r="E8" s="154">
        <f>MATCH(F8,AGR!$D$22:$D$26,0)</f>
        <v>2</v>
      </c>
      <c r="F8" s="4" t="str">
        <f t="shared" si="0"/>
        <v>AP</v>
      </c>
      <c r="G8" s="151">
        <f ca="1">OFFSET(AGR!J$21,$E8,0)</f>
        <v>3.8349683201390801</v>
      </c>
      <c r="H8" s="151">
        <f ca="1">OFFSET(AGR!K$21,$E8,0)</f>
        <v>3.9492568761781026</v>
      </c>
      <c r="I8" s="151">
        <f ca="1">OFFSET(AGR!L$21,$E8,0)</f>
        <v>4.0669514249010517</v>
      </c>
      <c r="J8" s="151">
        <f ca="1">OFFSET(AGR!M$21,$E8,0)</f>
        <v>4.1846459736240016</v>
      </c>
      <c r="K8" s="151">
        <f ca="1">OFFSET(AGR!N$21,$E8,0)</f>
        <v>4.3023405223469515</v>
      </c>
      <c r="L8" s="151">
        <f ca="1">OFFSET(AGR!O$21,$E8,0)</f>
        <v>4.3273052152969242</v>
      </c>
      <c r="M8" s="151">
        <f ca="1">OFFSET(AGR!P$21,$E8,0)</f>
        <v>4.352269908246897</v>
      </c>
      <c r="N8" s="151">
        <f ca="1">OFFSET(AGR!Q$21,$E8,0)</f>
        <v>4.3772346011968697</v>
      </c>
      <c r="O8" s="245">
        <f ca="1">OFFSET(AGR!R$21,$E8,0)</f>
        <v>4.4021992941468424</v>
      </c>
      <c r="P8" s="151">
        <f ca="1">OFFSET(AGR!S$21,$E8,0)</f>
        <v>4.4271639870968134</v>
      </c>
      <c r="Q8" s="151">
        <f ca="1">OFFSET(AGR!T$21,$E8,0)</f>
        <v>4.5097705602870208</v>
      </c>
      <c r="R8" s="151">
        <f ca="1">OFFSET(AGR!U$21,$E8,0)</f>
        <v>4.5923771334772274</v>
      </c>
      <c r="S8" s="151">
        <f ca="1">OFFSET(AGR!V$21,$E8,0)</f>
        <v>4.6749837066674349</v>
      </c>
      <c r="T8" s="245">
        <f ca="1">OFFSET(AGR!W$21,$E8,0)</f>
        <v>4.7575902798576424</v>
      </c>
      <c r="U8" s="151">
        <f ca="1">OFFSET(AGR!X$21,$E8,0)</f>
        <v>4.840196853047849</v>
      </c>
      <c r="V8" s="151">
        <f ca="1">OFFSET(AGR!Y$21,$E8,0)</f>
        <v>4.9494654548060346</v>
      </c>
      <c r="W8" s="151">
        <f ca="1">OFFSET(AGR!Z$21,$E8,0)</f>
        <v>5.0587340565642211</v>
      </c>
      <c r="X8" s="151">
        <f ca="1">OFFSET(AGR!AA$21,$E8,0)</f>
        <v>5.1680026583224068</v>
      </c>
      <c r="Y8" s="247">
        <f ca="1">OFFSET(AGR!AB$21,$E8,0)</f>
        <v>5.2772712600805933</v>
      </c>
      <c r="Z8" s="151">
        <f ca="1">OFFSET(AGR!AC$21,$E8,0)</f>
        <v>5.386539861838779</v>
      </c>
      <c r="AA8" s="151">
        <f ca="1">OFFSET(AGR!AD$21,$E8,0)</f>
        <v>5.4750715177832028</v>
      </c>
      <c r="AB8" s="151">
        <f ca="1">OFFSET(AGR!AE$21,$E8,0)</f>
        <v>5.5636031737276266</v>
      </c>
      <c r="AC8" s="151">
        <f ca="1">OFFSET(AGR!AF$21,$E8,0)</f>
        <v>5.6521348296720504</v>
      </c>
      <c r="AD8" s="151">
        <f ca="1">OFFSET(AGR!AG$21,$E8,0)</f>
        <v>5.7406664856164742</v>
      </c>
      <c r="AE8" s="151">
        <f ca="1">OFFSET(AGR!AH$21,$E8,0)</f>
        <v>5.829198141560898</v>
      </c>
      <c r="AF8" s="151">
        <f ca="1">OFFSET(AGR!AI$21,$E8,0)</f>
        <v>5.9347687043189197</v>
      </c>
      <c r="AG8" s="151">
        <f ca="1">OFFSET(AGR!AJ$21,$E8,0)</f>
        <v>6.0403392670769414</v>
      </c>
      <c r="AH8" s="151">
        <f ca="1">OFFSET(AGR!AK$21,$E8,0)</f>
        <v>6.145909829834963</v>
      </c>
      <c r="AI8" s="151">
        <f ca="1">OFFSET(AGR!AL$21,$E8,0)</f>
        <v>6.2514803925929847</v>
      </c>
      <c r="AJ8" s="151">
        <f ca="1">OFFSET(AGR!AM$21,$E8,0)</f>
        <v>6.3570509553510091</v>
      </c>
      <c r="AK8" s="151">
        <f ca="1">OFFSET(AGR!AN$21,$E8,0)</f>
        <v>6.8384347078110554</v>
      </c>
      <c r="AL8" s="151">
        <f ca="1">OFFSET(AGR!AO$21,$E8,0)</f>
        <v>7.3593503063007386</v>
      </c>
      <c r="AM8" s="151">
        <f ca="1">OFFSET(AGR!AP$21,$E8,0)</f>
        <v>7.3593503063007386</v>
      </c>
      <c r="AQ8" s="4"/>
    </row>
    <row r="9" spans="1:56">
      <c r="A9" s="36" t="s">
        <v>321</v>
      </c>
      <c r="B9">
        <v>14.26028349219</v>
      </c>
      <c r="E9" s="155">
        <f>MATCH(F9,AGR!$D$22:$D$26,0)</f>
        <v>3</v>
      </c>
      <c r="F9" s="4" t="str">
        <f t="shared" si="0"/>
        <v>AT</v>
      </c>
      <c r="G9" s="151">
        <f ca="1">OFFSET(AGR!J$21,$E9,0)</f>
        <v>9.5227140641133712</v>
      </c>
      <c r="H9" s="151">
        <f ca="1">OFFSET(AGR!K$21,$E9,0)</f>
        <v>9.8065070837961361</v>
      </c>
      <c r="I9" s="151">
        <f ca="1">OFFSET(AGR!L$21,$E9,0)</f>
        <v>10.098757616481857</v>
      </c>
      <c r="J9" s="151">
        <f ca="1">OFFSET(AGR!M$21,$E9,0)</f>
        <v>10.391008149167577</v>
      </c>
      <c r="K9" s="151">
        <f ca="1">OFFSET(AGR!N$21,$E9,0)</f>
        <v>10.6832586818533</v>
      </c>
      <c r="L9" s="151">
        <f ca="1">OFFSET(AGR!O$21,$E9,0)</f>
        <v>10.745249189418262</v>
      </c>
      <c r="M9" s="151">
        <f ca="1">OFFSET(AGR!P$21,$E9,0)</f>
        <v>10.807239696983224</v>
      </c>
      <c r="N9" s="151">
        <f ca="1">OFFSET(AGR!Q$21,$E9,0)</f>
        <v>10.869230204548188</v>
      </c>
      <c r="O9" s="245">
        <f ca="1">OFFSET(AGR!R$21,$E9,0)</f>
        <v>10.93122071211315</v>
      </c>
      <c r="P9" s="151">
        <f ca="1">OFFSET(AGR!S$21,$E9,0)</f>
        <v>10.993211219678111</v>
      </c>
      <c r="Q9" s="151">
        <f ca="1">OFFSET(AGR!T$21,$E9,0)</f>
        <v>11.198333846682775</v>
      </c>
      <c r="R9" s="151">
        <f ca="1">OFFSET(AGR!U$21,$E9,0)</f>
        <v>11.40345647368744</v>
      </c>
      <c r="S9" s="151">
        <f ca="1">OFFSET(AGR!V$21,$E9,0)</f>
        <v>11.608579100692106</v>
      </c>
      <c r="T9" s="245">
        <f ca="1">OFFSET(AGR!W$21,$E9,0)</f>
        <v>11.813701727696772</v>
      </c>
      <c r="U9" s="151">
        <f ca="1">OFFSET(AGR!X$21,$E9,0)</f>
        <v>12.018824354701437</v>
      </c>
      <c r="V9" s="151">
        <f ca="1">OFFSET(AGR!Y$21,$E9,0)</f>
        <v>12.290152189475036</v>
      </c>
      <c r="W9" s="151">
        <f ca="1">OFFSET(AGR!Z$21,$E9,0)</f>
        <v>12.561480024248636</v>
      </c>
      <c r="X9" s="151">
        <f ca="1">OFFSET(AGR!AA$21,$E9,0)</f>
        <v>12.832807859022234</v>
      </c>
      <c r="Y9" s="247">
        <f ca="1">OFFSET(AGR!AB$21,$E9,0)</f>
        <v>13.104135693795833</v>
      </c>
      <c r="Z9" s="151">
        <f ca="1">OFFSET(AGR!AC$21,$E9,0)</f>
        <v>13.37546352856943</v>
      </c>
      <c r="AA9" s="151">
        <f ca="1">OFFSET(AGR!AD$21,$E9,0)</f>
        <v>13.595298889595471</v>
      </c>
      <c r="AB9" s="151">
        <f ca="1">OFFSET(AGR!AE$21,$E9,0)</f>
        <v>13.815134250621513</v>
      </c>
      <c r="AC9" s="151">
        <f ca="1">OFFSET(AGR!AF$21,$E9,0)</f>
        <v>14.034969611647556</v>
      </c>
      <c r="AD9" s="151">
        <f ca="1">OFFSET(AGR!AG$21,$E9,0)</f>
        <v>14.254804972673599</v>
      </c>
      <c r="AE9" s="151">
        <f ca="1">OFFSET(AGR!AH$21,$E9,0)</f>
        <v>14.474640333699641</v>
      </c>
      <c r="AF9" s="151">
        <f ca="1">OFFSET(AGR!AI$21,$E9,0)</f>
        <v>14.736785467325078</v>
      </c>
      <c r="AG9" s="151">
        <f ca="1">OFFSET(AGR!AJ$21,$E9,0)</f>
        <v>14.998930600950516</v>
      </c>
      <c r="AH9" s="151">
        <f ca="1">OFFSET(AGR!AK$21,$E9,0)</f>
        <v>15.261075734575952</v>
      </c>
      <c r="AI9" s="151">
        <f ca="1">OFFSET(AGR!AL$21,$E9,0)</f>
        <v>15.52322086820139</v>
      </c>
      <c r="AJ9" s="151">
        <f ca="1">OFFSET(AGR!AM$21,$E9,0)</f>
        <v>15.785366001826834</v>
      </c>
      <c r="AK9" s="151">
        <f ca="1">OFFSET(AGR!AN$21,$E9,0)</f>
        <v>16.980703080809718</v>
      </c>
      <c r="AL9" s="151">
        <f ca="1">OFFSET(AGR!AO$21,$E9,0)</f>
        <v>18.274202761081874</v>
      </c>
      <c r="AM9" s="151">
        <f ca="1">OFFSET(AGR!AP$21,$E9,0)</f>
        <v>18.274202761081874</v>
      </c>
      <c r="AQ9" s="4"/>
    </row>
    <row r="10" spans="1:56">
      <c r="A10" s="36" t="s">
        <v>322</v>
      </c>
      <c r="B10">
        <v>0.39719718710289997</v>
      </c>
      <c r="E10" s="154">
        <f ca="1">MATCH(F10,IND!$D$26:$D$255,0)</f>
        <v>110</v>
      </c>
      <c r="F10" s="4" t="str">
        <f t="shared" si="0"/>
        <v>ICPA</v>
      </c>
      <c r="G10" s="151">
        <f ca="1">OFFSET(IND!J$25,$E10,0)</f>
        <v>0.2086787369811067</v>
      </c>
      <c r="H10" s="151">
        <f ca="1">OFFSET(IND!K$25,$E10,0)</f>
        <v>0.21279034124949719</v>
      </c>
      <c r="I10" s="151">
        <f ca="1">OFFSET(IND!L$25,$E10,0)</f>
        <v>0.21690194551788769</v>
      </c>
      <c r="J10" s="151">
        <f ca="1">OFFSET(IND!M$25,$E10,0)</f>
        <v>0.2398875</v>
      </c>
      <c r="K10" s="151">
        <f ca="1">OFFSET(IND!N$25,$E10,0)</f>
        <v>0.2398875</v>
      </c>
      <c r="L10" s="151">
        <f ca="1">OFFSET(IND!O$25,$E10,0)</f>
        <v>0.2398875</v>
      </c>
      <c r="M10" s="151">
        <f ca="1">OFFSET(IND!P$25,$E10,0)</f>
        <v>0.24077129790720553</v>
      </c>
      <c r="N10" s="151">
        <f ca="1">OFFSET(IND!Q$25,$E10,0)</f>
        <v>0.24165509581441105</v>
      </c>
      <c r="O10" s="245">
        <f ca="1">OFFSET(IND!R$25,$E10,0)</f>
        <v>0.24253889372161666</v>
      </c>
      <c r="P10" s="151">
        <f ca="1">OFFSET(IND!S$25,$E10,0)</f>
        <v>0.24682270837414591</v>
      </c>
      <c r="Q10" s="151">
        <f ca="1">OFFSET(IND!T$25,$E10,0)</f>
        <v>0.25110652302667513</v>
      </c>
      <c r="R10" s="151">
        <f ca="1">OFFSET(IND!U$25,$E10,0)</f>
        <v>0.25539033767920438</v>
      </c>
      <c r="S10" s="151">
        <f ca="1">OFFSET(IND!V$25,$E10,0)</f>
        <v>0.25967415233173363</v>
      </c>
      <c r="T10" s="245">
        <f ca="1">OFFSET(IND!W$25,$E10,0)</f>
        <v>0.26395796698426283</v>
      </c>
      <c r="U10" s="151">
        <f ca="1">OFFSET(IND!X$25,$E10,0)</f>
        <v>0.27043713364893762</v>
      </c>
      <c r="V10" s="151">
        <f ca="1">OFFSET(IND!Y$25,$E10,0)</f>
        <v>0.27691630031361242</v>
      </c>
      <c r="W10" s="151">
        <f ca="1">OFFSET(IND!Z$25,$E10,0)</f>
        <v>0.28339546697828721</v>
      </c>
      <c r="X10" s="151">
        <f ca="1">OFFSET(IND!AA$25,$E10,0)</f>
        <v>0.28987463364296201</v>
      </c>
      <c r="Y10" s="247">
        <f ca="1">OFFSET(IND!AB$25,$E10,0)</f>
        <v>0.29635380030763686</v>
      </c>
      <c r="Z10" s="151">
        <f ca="1">OFFSET(IND!AC$25,$E10,0)</f>
        <v>0.30369946107115864</v>
      </c>
      <c r="AA10" s="151">
        <f ca="1">OFFSET(IND!AD$25,$E10,0)</f>
        <v>0.31104512183468047</v>
      </c>
      <c r="AB10" s="151">
        <f ca="1">OFFSET(IND!AE$25,$E10,0)</f>
        <v>0.31839078259820225</v>
      </c>
      <c r="AC10" s="151">
        <f ca="1">OFFSET(IND!AF$25,$E10,0)</f>
        <v>0.32573644336172403</v>
      </c>
      <c r="AD10" s="151">
        <f ca="1">OFFSET(IND!AG$25,$E10,0)</f>
        <v>0.33308210412524586</v>
      </c>
      <c r="AE10" s="151">
        <f ca="1">OFFSET(IND!AH$25,$E10,0)</f>
        <v>0.3413849189116086</v>
      </c>
      <c r="AF10" s="151">
        <f ca="1">OFFSET(IND!AI$25,$E10,0)</f>
        <v>0.34968773369797129</v>
      </c>
      <c r="AG10" s="151">
        <f ca="1">OFFSET(IND!AJ$25,$E10,0)</f>
        <v>0.35799054848433404</v>
      </c>
      <c r="AH10" s="151">
        <f ca="1">OFFSET(IND!AK$25,$E10,0)</f>
        <v>0.36629336327069673</v>
      </c>
      <c r="AI10" s="151">
        <f ca="1">OFFSET(IND!AL$25,$E10,0)</f>
        <v>0.37459617805705941</v>
      </c>
      <c r="AJ10" s="151">
        <f ca="1">OFFSET(IND!AM$25,$E10,0)</f>
        <v>0.41382617609484662</v>
      </c>
      <c r="AK10" s="151">
        <f ca="1">OFFSET(IND!AN$25,$E10,0)</f>
        <v>0.45288708543003248</v>
      </c>
      <c r="AL10" s="151">
        <f ca="1">OFFSET(IND!AO$25,$E10,0)</f>
        <v>0.53120617425343963</v>
      </c>
      <c r="AM10" s="151">
        <f ca="1">OFFSET(IND!AP$25,$E10,0)</f>
        <v>0.60949708162641181</v>
      </c>
      <c r="AQ10" s="4"/>
    </row>
    <row r="11" spans="1:56">
      <c r="A11" s="36" t="s">
        <v>323</v>
      </c>
      <c r="B11">
        <v>5.295962494706</v>
      </c>
      <c r="E11" s="154">
        <f ca="1">MATCH(F11,IND!$D$26:$D$255,0)</f>
        <v>112</v>
      </c>
      <c r="F11" s="4" t="str">
        <f t="shared" si="0"/>
        <v>ICPC</v>
      </c>
      <c r="G11" s="151">
        <f ca="1">OFFSET(IND!J$25,$E11,0)</f>
        <v>2.7823831597480893</v>
      </c>
      <c r="H11" s="151">
        <f ca="1">OFFSET(IND!K$25,$E11,0)</f>
        <v>2.8372045499932961</v>
      </c>
      <c r="I11" s="151">
        <f ca="1">OFFSET(IND!L$25,$E11,0)</f>
        <v>2.8920259402385025</v>
      </c>
      <c r="J11" s="151">
        <f ca="1">OFFSET(IND!M$25,$E11,0)</f>
        <v>3.1985000000000001</v>
      </c>
      <c r="K11" s="151">
        <f ca="1">OFFSET(IND!N$25,$E11,0)</f>
        <v>3.1985000000000001</v>
      </c>
      <c r="L11" s="151">
        <f ca="1">OFFSET(IND!O$25,$E11,0)</f>
        <v>3.1985000000000001</v>
      </c>
      <c r="M11" s="151">
        <f ca="1">OFFSET(IND!P$25,$E11,0)</f>
        <v>3.2102839720960739</v>
      </c>
      <c r="N11" s="151">
        <f ca="1">OFFSET(IND!Q$25,$E11,0)</f>
        <v>3.2220679441921476</v>
      </c>
      <c r="O11" s="245">
        <f ca="1">OFFSET(IND!R$25,$E11,0)</f>
        <v>3.2338519162882227</v>
      </c>
      <c r="P11" s="151">
        <f ca="1">OFFSET(IND!S$25,$E11,0)</f>
        <v>3.2909694449886127</v>
      </c>
      <c r="Q11" s="151">
        <f ca="1">OFFSET(IND!T$25,$E11,0)</f>
        <v>3.3480869736890022</v>
      </c>
      <c r="R11" s="151">
        <f ca="1">OFFSET(IND!U$25,$E11,0)</f>
        <v>3.4052045023893922</v>
      </c>
      <c r="S11" s="151">
        <f ca="1">OFFSET(IND!V$25,$E11,0)</f>
        <v>3.4623220310897818</v>
      </c>
      <c r="T11" s="245">
        <f ca="1">OFFSET(IND!W$25,$E11,0)</f>
        <v>3.5194395597901709</v>
      </c>
      <c r="U11" s="151">
        <f ca="1">OFFSET(IND!X$25,$E11,0)</f>
        <v>3.6058284486525016</v>
      </c>
      <c r="V11" s="151">
        <f ca="1">OFFSET(IND!Y$25,$E11,0)</f>
        <v>3.6922173375148324</v>
      </c>
      <c r="W11" s="151">
        <f ca="1">OFFSET(IND!Z$25,$E11,0)</f>
        <v>3.7786062263771627</v>
      </c>
      <c r="X11" s="151">
        <f ca="1">OFFSET(IND!AA$25,$E11,0)</f>
        <v>3.864995115239493</v>
      </c>
      <c r="Y11" s="247">
        <f ca="1">OFFSET(IND!AB$25,$E11,0)</f>
        <v>3.9513840041018247</v>
      </c>
      <c r="Z11" s="151">
        <f ca="1">OFFSET(IND!AC$25,$E11,0)</f>
        <v>4.0493261476154485</v>
      </c>
      <c r="AA11" s="151">
        <f ca="1">OFFSET(IND!AD$25,$E11,0)</f>
        <v>4.1472682911290724</v>
      </c>
      <c r="AB11" s="151">
        <f ca="1">OFFSET(IND!AE$25,$E11,0)</f>
        <v>4.2452104346426962</v>
      </c>
      <c r="AC11" s="151">
        <f ca="1">OFFSET(IND!AF$25,$E11,0)</f>
        <v>4.3431525781563201</v>
      </c>
      <c r="AD11" s="151">
        <f ca="1">OFFSET(IND!AG$25,$E11,0)</f>
        <v>4.4410947216699439</v>
      </c>
      <c r="AE11" s="151">
        <f ca="1">OFFSET(IND!AH$25,$E11,0)</f>
        <v>4.5517989188214472</v>
      </c>
      <c r="AF11" s="151">
        <f ca="1">OFFSET(IND!AI$25,$E11,0)</f>
        <v>4.6625031159729495</v>
      </c>
      <c r="AG11" s="151">
        <f ca="1">OFFSET(IND!AJ$25,$E11,0)</f>
        <v>4.7732073131244528</v>
      </c>
      <c r="AH11" s="151">
        <f ca="1">OFFSET(IND!AK$25,$E11,0)</f>
        <v>4.8839115102759552</v>
      </c>
      <c r="AI11" s="151">
        <f ca="1">OFFSET(IND!AL$25,$E11,0)</f>
        <v>4.9946157074274575</v>
      </c>
      <c r="AJ11" s="151">
        <f ca="1">OFFSET(IND!AM$25,$E11,0)</f>
        <v>5.5176823479312871</v>
      </c>
      <c r="AK11" s="151">
        <f ca="1">OFFSET(IND!AN$25,$E11,0)</f>
        <v>6.0384944724004317</v>
      </c>
      <c r="AL11" s="151">
        <f ca="1">OFFSET(IND!AO$25,$E11,0)</f>
        <v>7.0827489900458591</v>
      </c>
      <c r="AM11" s="151">
        <f ca="1">OFFSET(IND!AP$25,$E11,0)</f>
        <v>8.1266277550188217</v>
      </c>
      <c r="AQ11" s="4"/>
    </row>
    <row r="12" spans="1:56">
      <c r="A12" s="36" t="s">
        <v>324</v>
      </c>
      <c r="B12">
        <v>3.219945196781</v>
      </c>
      <c r="E12" s="154">
        <f ca="1">MATCH(F12,IND!$D$26:$D$255,0)</f>
        <v>117</v>
      </c>
      <c r="F12" s="4" t="str">
        <f t="shared" si="0"/>
        <v>ICPE</v>
      </c>
      <c r="G12" s="151">
        <f ca="1">OFFSET(IND!J$25,$E12,0)</f>
        <v>1.6916889611268384</v>
      </c>
      <c r="H12" s="151">
        <f ca="1">OFFSET(IND!K$25,$E12,0)</f>
        <v>1.725020366395924</v>
      </c>
      <c r="I12" s="151">
        <f ca="1">OFFSET(IND!L$25,$E12,0)</f>
        <v>1.7583517716650097</v>
      </c>
      <c r="J12" s="151">
        <f ca="1">OFFSET(IND!M$25,$E12,0)</f>
        <v>1.9446880000000002</v>
      </c>
      <c r="K12" s="151">
        <f ca="1">OFFSET(IND!N$25,$E12,0)</f>
        <v>1.9446880000000002</v>
      </c>
      <c r="L12" s="151">
        <f ca="1">OFFSET(IND!O$25,$E12,0)</f>
        <v>1.9446880000000002</v>
      </c>
      <c r="M12" s="151">
        <f ca="1">OFFSET(IND!P$25,$E12,0)</f>
        <v>1.9518526550344129</v>
      </c>
      <c r="N12" s="151">
        <f ca="1">OFFSET(IND!Q$25,$E12,0)</f>
        <v>1.9590173100688257</v>
      </c>
      <c r="O12" s="245">
        <f ca="1">OFFSET(IND!R$25,$E12,0)</f>
        <v>1.9661819651032393</v>
      </c>
      <c r="P12" s="151">
        <f ca="1">OFFSET(IND!S$25,$E12,0)</f>
        <v>2.0009094225530761</v>
      </c>
      <c r="Q12" s="151">
        <f ca="1">OFFSET(IND!T$25,$E12,0)</f>
        <v>2.035636880002913</v>
      </c>
      <c r="R12" s="151">
        <f ca="1">OFFSET(IND!U$25,$E12,0)</f>
        <v>2.0703643374527503</v>
      </c>
      <c r="S12" s="151">
        <f ca="1">OFFSET(IND!V$25,$E12,0)</f>
        <v>2.1050917949025871</v>
      </c>
      <c r="T12" s="245">
        <f ca="1">OFFSET(IND!W$25,$E12,0)</f>
        <v>2.139819252352424</v>
      </c>
      <c r="U12" s="151">
        <f ca="1">OFFSET(IND!X$25,$E12,0)</f>
        <v>2.1923436967807208</v>
      </c>
      <c r="V12" s="151">
        <f ca="1">OFFSET(IND!Y$25,$E12,0)</f>
        <v>2.2448681412090181</v>
      </c>
      <c r="W12" s="151">
        <f ca="1">OFFSET(IND!Z$25,$E12,0)</f>
        <v>2.297392585637315</v>
      </c>
      <c r="X12" s="151">
        <f ca="1">OFFSET(IND!AA$25,$E12,0)</f>
        <v>2.3499170300656118</v>
      </c>
      <c r="Y12" s="247">
        <f ca="1">OFFSET(IND!AB$25,$E12,0)</f>
        <v>2.4024414744939095</v>
      </c>
      <c r="Z12" s="151">
        <f ca="1">OFFSET(IND!AC$25,$E12,0)</f>
        <v>2.4619902977501926</v>
      </c>
      <c r="AA12" s="151">
        <f ca="1">OFFSET(IND!AD$25,$E12,0)</f>
        <v>2.5215391210064761</v>
      </c>
      <c r="AB12" s="151">
        <f ca="1">OFFSET(IND!AE$25,$E12,0)</f>
        <v>2.5810879442627592</v>
      </c>
      <c r="AC12" s="151">
        <f ca="1">OFFSET(IND!AF$25,$E12,0)</f>
        <v>2.6406367675190427</v>
      </c>
      <c r="AD12" s="151">
        <f ca="1">OFFSET(IND!AG$25,$E12,0)</f>
        <v>2.7001855907753263</v>
      </c>
      <c r="AE12" s="151">
        <f ca="1">OFFSET(IND!AH$25,$E12,0)</f>
        <v>2.7674937426434401</v>
      </c>
      <c r="AF12" s="151">
        <f ca="1">OFFSET(IND!AI$25,$E12,0)</f>
        <v>2.8348018945115534</v>
      </c>
      <c r="AG12" s="151">
        <f ca="1">OFFSET(IND!AJ$25,$E12,0)</f>
        <v>2.9021100463796672</v>
      </c>
      <c r="AH12" s="151">
        <f ca="1">OFFSET(IND!AK$25,$E12,0)</f>
        <v>2.969418198247781</v>
      </c>
      <c r="AI12" s="151">
        <f ca="1">OFFSET(IND!AL$25,$E12,0)</f>
        <v>3.0367263501158943</v>
      </c>
      <c r="AJ12" s="151">
        <f ca="1">OFFSET(IND!AM$25,$E12,0)</f>
        <v>3.3547508675422226</v>
      </c>
      <c r="AK12" s="151">
        <f ca="1">OFFSET(IND!AN$25,$E12,0)</f>
        <v>3.6714046392194626</v>
      </c>
      <c r="AL12" s="151">
        <f ca="1">OFFSET(IND!AO$25,$E12,0)</f>
        <v>4.3063113859478825</v>
      </c>
      <c r="AM12" s="151">
        <f ca="1">OFFSET(IND!AP$25,$E12,0)</f>
        <v>4.9409896750514433</v>
      </c>
      <c r="AQ12" s="4"/>
    </row>
    <row r="13" spans="1:56">
      <c r="A13" s="36" t="s">
        <v>325</v>
      </c>
      <c r="B13">
        <v>3.389415996611</v>
      </c>
      <c r="E13" s="154">
        <f ca="1">MATCH(F13,IND!$D$26:$D$255,0)</f>
        <v>115</v>
      </c>
      <c r="F13" s="4" t="str">
        <f t="shared" si="0"/>
        <v>ICPF</v>
      </c>
      <c r="G13" s="151">
        <f ca="1">OFFSET(IND!J$25,$E13,0)</f>
        <v>1.7807252222387775</v>
      </c>
      <c r="H13" s="151">
        <f ca="1">OFFSET(IND!K$25,$E13,0)</f>
        <v>1.8158109119957098</v>
      </c>
      <c r="I13" s="151">
        <f ca="1">OFFSET(IND!L$25,$E13,0)</f>
        <v>1.850896601752642</v>
      </c>
      <c r="J13" s="151">
        <f ca="1">OFFSET(IND!M$25,$E13,0)</f>
        <v>2.0470400000000004</v>
      </c>
      <c r="K13" s="151">
        <f ca="1">OFFSET(IND!N$25,$E13,0)</f>
        <v>2.0470400000000004</v>
      </c>
      <c r="L13" s="151">
        <f ca="1">OFFSET(IND!O$25,$E13,0)</f>
        <v>2.0470400000000004</v>
      </c>
      <c r="M13" s="151">
        <f ca="1">OFFSET(IND!P$25,$E13,0)</f>
        <v>2.0545817421414876</v>
      </c>
      <c r="N13" s="151">
        <f ca="1">OFFSET(IND!Q$25,$E13,0)</f>
        <v>2.0621234842829748</v>
      </c>
      <c r="O13" s="245">
        <f ca="1">OFFSET(IND!R$25,$E13,0)</f>
        <v>2.0696652264244628</v>
      </c>
      <c r="P13" s="151">
        <f ca="1">OFFSET(IND!S$25,$E13,0)</f>
        <v>2.1062204447927124</v>
      </c>
      <c r="Q13" s="151">
        <f ca="1">OFFSET(IND!T$25,$E13,0)</f>
        <v>2.142775663160962</v>
      </c>
      <c r="R13" s="151">
        <f ca="1">OFFSET(IND!U$25,$E13,0)</f>
        <v>2.1793308815292116</v>
      </c>
      <c r="S13" s="151">
        <f ca="1">OFFSET(IND!V$25,$E13,0)</f>
        <v>2.2158860998974612</v>
      </c>
      <c r="T13" s="245">
        <f ca="1">OFFSET(IND!W$25,$E13,0)</f>
        <v>2.2524413182657104</v>
      </c>
      <c r="U13" s="151">
        <f ca="1">OFFSET(IND!X$25,$E13,0)</f>
        <v>2.307730207137602</v>
      </c>
      <c r="V13" s="151">
        <f ca="1">OFFSET(IND!Y$25,$E13,0)</f>
        <v>2.3630190960094937</v>
      </c>
      <c r="W13" s="151">
        <f ca="1">OFFSET(IND!Z$25,$E13,0)</f>
        <v>2.4183079848813853</v>
      </c>
      <c r="X13" s="151">
        <f ca="1">OFFSET(IND!AA$25,$E13,0)</f>
        <v>2.473596873753277</v>
      </c>
      <c r="Y13" s="247">
        <f ca="1">OFFSET(IND!AB$25,$E13,0)</f>
        <v>2.5288857626251691</v>
      </c>
      <c r="Z13" s="151">
        <f ca="1">OFFSET(IND!AC$25,$E13,0)</f>
        <v>2.5915687344738885</v>
      </c>
      <c r="AA13" s="151">
        <f ca="1">OFFSET(IND!AD$25,$E13,0)</f>
        <v>2.6542517063226079</v>
      </c>
      <c r="AB13" s="151">
        <f ca="1">OFFSET(IND!AE$25,$E13,0)</f>
        <v>2.7169346781713268</v>
      </c>
      <c r="AC13" s="151">
        <f ca="1">OFFSET(IND!AF$25,$E13,0)</f>
        <v>2.7796176500200462</v>
      </c>
      <c r="AD13" s="151">
        <f ca="1">OFFSET(IND!AG$25,$E13,0)</f>
        <v>2.8423006218687656</v>
      </c>
      <c r="AE13" s="151">
        <f ca="1">OFFSET(IND!AH$25,$E13,0)</f>
        <v>2.9131513080457276</v>
      </c>
      <c r="AF13" s="151">
        <f ca="1">OFFSET(IND!AI$25,$E13,0)</f>
        <v>2.9840019942226892</v>
      </c>
      <c r="AG13" s="151">
        <f ca="1">OFFSET(IND!AJ$25,$E13,0)</f>
        <v>3.0548526803996512</v>
      </c>
      <c r="AH13" s="151">
        <f ca="1">OFFSET(IND!AK$25,$E13,0)</f>
        <v>3.1257033665766127</v>
      </c>
      <c r="AI13" s="151">
        <f ca="1">OFFSET(IND!AL$25,$E13,0)</f>
        <v>3.1965540527535743</v>
      </c>
      <c r="AJ13" s="151">
        <f ca="1">OFFSET(IND!AM$25,$E13,0)</f>
        <v>3.5313167026760253</v>
      </c>
      <c r="AK13" s="151">
        <f ca="1">OFFSET(IND!AN$25,$E13,0)</f>
        <v>3.8646364623362777</v>
      </c>
      <c r="AL13" s="151">
        <f ca="1">OFFSET(IND!AO$25,$E13,0)</f>
        <v>4.5329593536293515</v>
      </c>
      <c r="AM13" s="151">
        <f ca="1">OFFSET(IND!AP$25,$E13,0)</f>
        <v>5.2010417632120474</v>
      </c>
      <c r="AQ13" s="4"/>
    </row>
    <row r="14" spans="1:56">
      <c r="A14" s="36" t="s">
        <v>326</v>
      </c>
      <c r="B14">
        <v>0.95327324904709998</v>
      </c>
      <c r="E14" s="154">
        <f ca="1">MATCH(F14,IND!$D$26:$D$255,0)</f>
        <v>113</v>
      </c>
      <c r="F14" s="4" t="str">
        <f t="shared" si="0"/>
        <v>ICPH</v>
      </c>
      <c r="G14" s="151">
        <f ca="1">OFFSET(IND!J$25,$E14,0)</f>
        <v>0.5008289687546561</v>
      </c>
      <c r="H14" s="151">
        <f ca="1">OFFSET(IND!K$25,$E14,0)</f>
        <v>0.51069681899879327</v>
      </c>
      <c r="I14" s="151">
        <f ca="1">OFFSET(IND!L$25,$E14,0)</f>
        <v>0.52056466924293043</v>
      </c>
      <c r="J14" s="151">
        <f ca="1">OFFSET(IND!M$25,$E14,0)</f>
        <v>0.57573000000000008</v>
      </c>
      <c r="K14" s="151">
        <f ca="1">OFFSET(IND!N$25,$E14,0)</f>
        <v>0.57573000000000008</v>
      </c>
      <c r="L14" s="151">
        <f ca="1">OFFSET(IND!O$25,$E14,0)</f>
        <v>0.57573000000000008</v>
      </c>
      <c r="M14" s="151">
        <f ca="1">OFFSET(IND!P$25,$E14,0)</f>
        <v>0.57785111497729336</v>
      </c>
      <c r="N14" s="151">
        <f ca="1">OFFSET(IND!Q$25,$E14,0)</f>
        <v>0.57997222995458664</v>
      </c>
      <c r="O14" s="245">
        <f ca="1">OFFSET(IND!R$25,$E14,0)</f>
        <v>0.58209334493188014</v>
      </c>
      <c r="P14" s="151">
        <f ca="1">OFFSET(IND!S$25,$E14,0)</f>
        <v>0.59237450009795034</v>
      </c>
      <c r="Q14" s="151">
        <f ca="1">OFFSET(IND!T$25,$E14,0)</f>
        <v>0.60265565526402054</v>
      </c>
      <c r="R14" s="151">
        <f ca="1">OFFSET(IND!U$25,$E14,0)</f>
        <v>0.61293681043009074</v>
      </c>
      <c r="S14" s="151">
        <f ca="1">OFFSET(IND!V$25,$E14,0)</f>
        <v>0.62321796559616094</v>
      </c>
      <c r="T14" s="245">
        <f ca="1">OFFSET(IND!W$25,$E14,0)</f>
        <v>0.63349912076223103</v>
      </c>
      <c r="U14" s="151">
        <f ca="1">OFFSET(IND!X$25,$E14,0)</f>
        <v>0.64904912075745058</v>
      </c>
      <c r="V14" s="151">
        <f ca="1">OFFSET(IND!Y$25,$E14,0)</f>
        <v>0.66459912075267014</v>
      </c>
      <c r="W14" s="151">
        <f ca="1">OFFSET(IND!Z$25,$E14,0)</f>
        <v>0.68014912074788958</v>
      </c>
      <c r="X14" s="151">
        <f ca="1">OFFSET(IND!AA$25,$E14,0)</f>
        <v>0.69569912074310902</v>
      </c>
      <c r="Y14" s="247">
        <f ca="1">OFFSET(IND!AB$25,$E14,0)</f>
        <v>0.71124912073832869</v>
      </c>
      <c r="Z14" s="151">
        <f ca="1">OFFSET(IND!AC$25,$E14,0)</f>
        <v>0.72887870657078102</v>
      </c>
      <c r="AA14" s="151">
        <f ca="1">OFFSET(IND!AD$25,$E14,0)</f>
        <v>0.74650829240323335</v>
      </c>
      <c r="AB14" s="151">
        <f ca="1">OFFSET(IND!AE$25,$E14,0)</f>
        <v>0.76413787823568557</v>
      </c>
      <c r="AC14" s="151">
        <f ca="1">OFFSET(IND!AF$25,$E14,0)</f>
        <v>0.78176746406813791</v>
      </c>
      <c r="AD14" s="151">
        <f ca="1">OFFSET(IND!AG$25,$E14,0)</f>
        <v>0.79939704990059024</v>
      </c>
      <c r="AE14" s="151">
        <f ca="1">OFFSET(IND!AH$25,$E14,0)</f>
        <v>0.81932380538786076</v>
      </c>
      <c r="AF14" s="151">
        <f ca="1">OFFSET(IND!AI$25,$E14,0)</f>
        <v>0.83925056087513117</v>
      </c>
      <c r="AG14" s="151">
        <f ca="1">OFFSET(IND!AJ$25,$E14,0)</f>
        <v>0.85917731636240169</v>
      </c>
      <c r="AH14" s="151">
        <f ca="1">OFFSET(IND!AK$25,$E14,0)</f>
        <v>0.87910407184967221</v>
      </c>
      <c r="AI14" s="151">
        <f ca="1">OFFSET(IND!AL$25,$E14,0)</f>
        <v>0.89903082733694262</v>
      </c>
      <c r="AJ14" s="151">
        <f ca="1">OFFSET(IND!AM$25,$E14,0)</f>
        <v>0.99318282262763191</v>
      </c>
      <c r="AK14" s="151">
        <f ca="1">OFFSET(IND!AN$25,$E14,0)</f>
        <v>1.0869290050320779</v>
      </c>
      <c r="AL14" s="151">
        <f ca="1">OFFSET(IND!AO$25,$E14,0)</f>
        <v>1.2748948182082549</v>
      </c>
      <c r="AM14" s="151">
        <f ca="1">OFFSET(IND!AP$25,$E14,0)</f>
        <v>1.4627929959033881</v>
      </c>
      <c r="AQ14" s="4"/>
    </row>
    <row r="15" spans="1:56">
      <c r="A15" s="36" t="s">
        <v>327</v>
      </c>
      <c r="B15">
        <v>1.059192498941</v>
      </c>
      <c r="E15" s="154">
        <f ca="1">MATCH(F15,IND!$D$26:$D$255,0)</f>
        <v>109</v>
      </c>
      <c r="F15" s="4" t="str">
        <f t="shared" si="0"/>
        <v>ICPK</v>
      </c>
      <c r="G15" s="151">
        <f ca="1">OFFSET(IND!J$25,$E15,0)</f>
        <v>0.55647663194961794</v>
      </c>
      <c r="H15" s="151">
        <f ca="1">OFFSET(IND!K$25,$E15,0)</f>
        <v>0.56744090999865926</v>
      </c>
      <c r="I15" s="151">
        <f ca="1">OFFSET(IND!L$25,$E15,0)</f>
        <v>0.57840518804770058</v>
      </c>
      <c r="J15" s="151">
        <f ca="1">OFFSET(IND!M$25,$E15,0)</f>
        <v>0.63970000000000005</v>
      </c>
      <c r="K15" s="151">
        <f ca="1">OFFSET(IND!N$25,$E15,0)</f>
        <v>0.63970000000000005</v>
      </c>
      <c r="L15" s="151">
        <f ca="1">OFFSET(IND!O$25,$E15,0)</f>
        <v>0.63970000000000005</v>
      </c>
      <c r="M15" s="151">
        <f ca="1">OFFSET(IND!P$25,$E15,0)</f>
        <v>0.64205679441921482</v>
      </c>
      <c r="N15" s="151">
        <f ca="1">OFFSET(IND!Q$25,$E15,0)</f>
        <v>0.64441358883842959</v>
      </c>
      <c r="O15" s="245">
        <f ca="1">OFFSET(IND!R$25,$E15,0)</f>
        <v>0.64677038325764458</v>
      </c>
      <c r="P15" s="151">
        <f ca="1">OFFSET(IND!S$25,$E15,0)</f>
        <v>0.65819388899772258</v>
      </c>
      <c r="Q15" s="151">
        <f ca="1">OFFSET(IND!T$25,$E15,0)</f>
        <v>0.66961739473780058</v>
      </c>
      <c r="R15" s="151">
        <f ca="1">OFFSET(IND!U$25,$E15,0)</f>
        <v>0.68104090047787857</v>
      </c>
      <c r="S15" s="151">
        <f ca="1">OFFSET(IND!V$25,$E15,0)</f>
        <v>0.69246440621795657</v>
      </c>
      <c r="T15" s="245">
        <f ca="1">OFFSET(IND!W$25,$E15,0)</f>
        <v>0.70388791195803446</v>
      </c>
      <c r="U15" s="151">
        <f ca="1">OFFSET(IND!X$25,$E15,0)</f>
        <v>0.72116568973050055</v>
      </c>
      <c r="V15" s="151">
        <f ca="1">OFFSET(IND!Y$25,$E15,0)</f>
        <v>0.73844346750296674</v>
      </c>
      <c r="W15" s="151">
        <f ca="1">OFFSET(IND!Z$25,$E15,0)</f>
        <v>0.75572124527543283</v>
      </c>
      <c r="X15" s="151">
        <f ca="1">OFFSET(IND!AA$25,$E15,0)</f>
        <v>0.77299902304789891</v>
      </c>
      <c r="Y15" s="247">
        <f ca="1">OFFSET(IND!AB$25,$E15,0)</f>
        <v>0.79027680082036522</v>
      </c>
      <c r="Z15" s="151">
        <f ca="1">OFFSET(IND!AC$25,$E15,0)</f>
        <v>0.80986522952309004</v>
      </c>
      <c r="AA15" s="151">
        <f ca="1">OFFSET(IND!AD$25,$E15,0)</f>
        <v>0.82945365822581485</v>
      </c>
      <c r="AB15" s="151">
        <f ca="1">OFFSET(IND!AE$25,$E15,0)</f>
        <v>0.84904208692853955</v>
      </c>
      <c r="AC15" s="151">
        <f ca="1">OFFSET(IND!AF$25,$E15,0)</f>
        <v>0.86863051563126437</v>
      </c>
      <c r="AD15" s="151">
        <f ca="1">OFFSET(IND!AG$25,$E15,0)</f>
        <v>0.88821894433398918</v>
      </c>
      <c r="AE15" s="151">
        <f ca="1">OFFSET(IND!AH$25,$E15,0)</f>
        <v>0.91035978376428983</v>
      </c>
      <c r="AF15" s="151">
        <f ca="1">OFFSET(IND!AI$25,$E15,0)</f>
        <v>0.93250062319459026</v>
      </c>
      <c r="AG15" s="151">
        <f ca="1">OFFSET(IND!AJ$25,$E15,0)</f>
        <v>0.95464146262489091</v>
      </c>
      <c r="AH15" s="151">
        <f ca="1">OFFSET(IND!AK$25,$E15,0)</f>
        <v>0.97678230205519145</v>
      </c>
      <c r="AI15" s="151">
        <f ca="1">OFFSET(IND!AL$25,$E15,0)</f>
        <v>0.99892314148549188</v>
      </c>
      <c r="AJ15" s="151">
        <f ca="1">OFFSET(IND!AM$25,$E15,0)</f>
        <v>1.1035364695862577</v>
      </c>
      <c r="AK15" s="151">
        <f ca="1">OFFSET(IND!AN$25,$E15,0)</f>
        <v>1.2076988944800866</v>
      </c>
      <c r="AL15" s="151">
        <f ca="1">OFFSET(IND!AO$25,$E15,0)</f>
        <v>1.4165497980091721</v>
      </c>
      <c r="AM15" s="151">
        <f ca="1">OFFSET(IND!AP$25,$E15,0)</f>
        <v>1.6253255510037645</v>
      </c>
      <c r="AQ15" s="4"/>
    </row>
    <row r="16" spans="1:56">
      <c r="A16" s="36" t="s">
        <v>328</v>
      </c>
      <c r="B16">
        <v>0.63551549936469998</v>
      </c>
      <c r="E16" s="154">
        <f ca="1">MATCH(F16,IND!$D$26:$D$255,0)</f>
        <v>111</v>
      </c>
      <c r="F16" s="4" t="str">
        <f t="shared" si="0"/>
        <v>ICPL</v>
      </c>
      <c r="G16" s="151">
        <f ca="1">OFFSET(IND!J$25,$E16,0)</f>
        <v>0.3338859791697707</v>
      </c>
      <c r="H16" s="151">
        <f ca="1">OFFSET(IND!K$25,$E16,0)</f>
        <v>0.34046454599919551</v>
      </c>
      <c r="I16" s="151">
        <f ca="1">OFFSET(IND!L$25,$E16,0)</f>
        <v>0.34704311282862027</v>
      </c>
      <c r="J16" s="151">
        <f ca="1">OFFSET(IND!M$25,$E16,0)</f>
        <v>0.38381999999999999</v>
      </c>
      <c r="K16" s="151">
        <f ca="1">OFFSET(IND!N$25,$E16,0)</f>
        <v>0.38381999999999999</v>
      </c>
      <c r="L16" s="151">
        <f ca="1">OFFSET(IND!O$25,$E16,0)</f>
        <v>0.38381999999999999</v>
      </c>
      <c r="M16" s="151">
        <f ca="1">OFFSET(IND!P$25,$E16,0)</f>
        <v>0.38523407665152881</v>
      </c>
      <c r="N16" s="151">
        <f ca="1">OFFSET(IND!Q$25,$E16,0)</f>
        <v>0.38664815330305768</v>
      </c>
      <c r="O16" s="245">
        <f ca="1">OFFSET(IND!R$25,$E16,0)</f>
        <v>0.38806222995458667</v>
      </c>
      <c r="P16" s="151">
        <f ca="1">OFFSET(IND!S$25,$E16,0)</f>
        <v>0.39491633339863347</v>
      </c>
      <c r="Q16" s="151">
        <f ca="1">OFFSET(IND!T$25,$E16,0)</f>
        <v>0.40177043684268021</v>
      </c>
      <c r="R16" s="151">
        <f ca="1">OFFSET(IND!U$25,$E16,0)</f>
        <v>0.40862454028672701</v>
      </c>
      <c r="S16" s="151">
        <f ca="1">OFFSET(IND!V$25,$E16,0)</f>
        <v>0.41547864373077376</v>
      </c>
      <c r="T16" s="245">
        <f ca="1">OFFSET(IND!W$25,$E16,0)</f>
        <v>0.42233274717482044</v>
      </c>
      <c r="U16" s="151">
        <f ca="1">OFFSET(IND!X$25,$E16,0)</f>
        <v>0.43269941383830013</v>
      </c>
      <c r="V16" s="151">
        <f ca="1">OFFSET(IND!Y$25,$E16,0)</f>
        <v>0.44306608050177981</v>
      </c>
      <c r="W16" s="151">
        <f ca="1">OFFSET(IND!Z$25,$E16,0)</f>
        <v>0.45343274716525944</v>
      </c>
      <c r="X16" s="151">
        <f ca="1">OFFSET(IND!AA$25,$E16,0)</f>
        <v>0.46379941382873907</v>
      </c>
      <c r="Y16" s="247">
        <f ca="1">OFFSET(IND!AB$25,$E16,0)</f>
        <v>0.47416608049221887</v>
      </c>
      <c r="Z16" s="151">
        <f ca="1">OFFSET(IND!AC$25,$E16,0)</f>
        <v>0.4859191377138537</v>
      </c>
      <c r="AA16" s="151">
        <f ca="1">OFFSET(IND!AD$25,$E16,0)</f>
        <v>0.49767219493548859</v>
      </c>
      <c r="AB16" s="151">
        <f ca="1">OFFSET(IND!AE$25,$E16,0)</f>
        <v>0.50942525215712342</v>
      </c>
      <c r="AC16" s="151">
        <f ca="1">OFFSET(IND!AF$25,$E16,0)</f>
        <v>0.52117830937875831</v>
      </c>
      <c r="AD16" s="151">
        <f ca="1">OFFSET(IND!AG$25,$E16,0)</f>
        <v>0.5329313666003932</v>
      </c>
      <c r="AE16" s="151">
        <f ca="1">OFFSET(IND!AH$25,$E16,0)</f>
        <v>0.54621587025857354</v>
      </c>
      <c r="AF16" s="151">
        <f ca="1">OFFSET(IND!AI$25,$E16,0)</f>
        <v>0.55950037391675378</v>
      </c>
      <c r="AG16" s="151">
        <f ca="1">OFFSET(IND!AJ$25,$E16,0)</f>
        <v>0.57278487757493413</v>
      </c>
      <c r="AH16" s="151">
        <f ca="1">OFFSET(IND!AK$25,$E16,0)</f>
        <v>0.58606938123311447</v>
      </c>
      <c r="AI16" s="151">
        <f ca="1">OFFSET(IND!AL$25,$E16,0)</f>
        <v>0.59935388489129471</v>
      </c>
      <c r="AJ16" s="151">
        <f ca="1">OFFSET(IND!AM$25,$E16,0)</f>
        <v>0.66212188175175424</v>
      </c>
      <c r="AK16" s="151">
        <f ca="1">OFFSET(IND!AN$25,$E16,0)</f>
        <v>0.72461933668805156</v>
      </c>
      <c r="AL16" s="151">
        <f ca="1">OFFSET(IND!AO$25,$E16,0)</f>
        <v>0.84992987880550286</v>
      </c>
      <c r="AM16" s="151">
        <f ca="1">OFFSET(IND!AP$25,$E16,0)</f>
        <v>0.97519533060225827</v>
      </c>
      <c r="AQ16" s="4"/>
    </row>
    <row r="17" spans="1:43">
      <c r="A17" s="36" t="s">
        <v>329</v>
      </c>
      <c r="B17">
        <v>8.4735399915289999</v>
      </c>
      <c r="E17" s="154">
        <f ca="1">MATCH(F17,IND!$D$26:$D$255,0)</f>
        <v>116</v>
      </c>
      <c r="F17" s="4" t="str">
        <f t="shared" si="0"/>
        <v>ICPO</v>
      </c>
      <c r="G17" s="151">
        <f ca="1">OFFSET(IND!J$25,$E17,0)</f>
        <v>4.4518130555969435</v>
      </c>
      <c r="H17" s="151">
        <f ca="1">OFFSET(IND!K$25,$E17,0)</f>
        <v>4.5395272799892741</v>
      </c>
      <c r="I17" s="151">
        <f ca="1">OFFSET(IND!L$25,$E17,0)</f>
        <v>4.6272415043816046</v>
      </c>
      <c r="J17" s="151">
        <f ca="1">OFFSET(IND!M$25,$E17,0)</f>
        <v>5.1176000000000004</v>
      </c>
      <c r="K17" s="151">
        <f ca="1">OFFSET(IND!N$25,$E17,0)</f>
        <v>5.1176000000000004</v>
      </c>
      <c r="L17" s="151">
        <f ca="1">OFFSET(IND!O$25,$E17,0)</f>
        <v>5.1176000000000004</v>
      </c>
      <c r="M17" s="151">
        <f ca="1">OFFSET(IND!P$25,$E17,0)</f>
        <v>5.1364543553537185</v>
      </c>
      <c r="N17" s="151">
        <f ca="1">OFFSET(IND!Q$25,$E17,0)</f>
        <v>5.1553087107074367</v>
      </c>
      <c r="O17" s="245">
        <f ca="1">OFFSET(IND!R$25,$E17,0)</f>
        <v>5.1741630660611566</v>
      </c>
      <c r="P17" s="151">
        <f ca="1">OFFSET(IND!S$25,$E17,0)</f>
        <v>5.2655511119817806</v>
      </c>
      <c r="Q17" s="151">
        <f ca="1">OFFSET(IND!T$25,$E17,0)</f>
        <v>5.3569391579024046</v>
      </c>
      <c r="R17" s="151">
        <f ca="1">OFFSET(IND!U$25,$E17,0)</f>
        <v>5.4483272038230286</v>
      </c>
      <c r="S17" s="151">
        <f ca="1">OFFSET(IND!V$25,$E17,0)</f>
        <v>5.5397152497436526</v>
      </c>
      <c r="T17" s="245">
        <f ca="1">OFFSET(IND!W$25,$E17,0)</f>
        <v>5.6311032956642757</v>
      </c>
      <c r="U17" s="151">
        <f ca="1">OFFSET(IND!X$25,$E17,0)</f>
        <v>5.7693255178440044</v>
      </c>
      <c r="V17" s="151">
        <f ca="1">OFFSET(IND!Y$25,$E17,0)</f>
        <v>5.907547740023734</v>
      </c>
      <c r="W17" s="151">
        <f ca="1">OFFSET(IND!Z$25,$E17,0)</f>
        <v>6.0457699622034626</v>
      </c>
      <c r="X17" s="151">
        <f ca="1">OFFSET(IND!AA$25,$E17,0)</f>
        <v>6.1839921843831913</v>
      </c>
      <c r="Y17" s="247">
        <f ca="1">OFFSET(IND!AB$25,$E17,0)</f>
        <v>6.3222144065629218</v>
      </c>
      <c r="Z17" s="151">
        <f ca="1">OFFSET(IND!AC$25,$E17,0)</f>
        <v>6.4789218361847203</v>
      </c>
      <c r="AA17" s="151">
        <f ca="1">OFFSET(IND!AD$25,$E17,0)</f>
        <v>6.6356292658065188</v>
      </c>
      <c r="AB17" s="151">
        <f ca="1">OFFSET(IND!AE$25,$E17,0)</f>
        <v>6.7923366954283164</v>
      </c>
      <c r="AC17" s="151">
        <f ca="1">OFFSET(IND!AF$25,$E17,0)</f>
        <v>6.9490441250501149</v>
      </c>
      <c r="AD17" s="151">
        <f ca="1">OFFSET(IND!AG$25,$E17,0)</f>
        <v>7.1057515546719134</v>
      </c>
      <c r="AE17" s="151">
        <f ca="1">OFFSET(IND!AH$25,$E17,0)</f>
        <v>7.2828782701143187</v>
      </c>
      <c r="AF17" s="151">
        <f ca="1">OFFSET(IND!AI$25,$E17,0)</f>
        <v>7.4600049855567221</v>
      </c>
      <c r="AG17" s="151">
        <f ca="1">OFFSET(IND!AJ$25,$E17,0)</f>
        <v>7.6371317009991273</v>
      </c>
      <c r="AH17" s="151">
        <f ca="1">OFFSET(IND!AK$25,$E17,0)</f>
        <v>7.8142584164415316</v>
      </c>
      <c r="AI17" s="151">
        <f ca="1">OFFSET(IND!AL$25,$E17,0)</f>
        <v>7.9913851318839351</v>
      </c>
      <c r="AJ17" s="151">
        <f ca="1">OFFSET(IND!AM$25,$E17,0)</f>
        <v>8.8282917566900618</v>
      </c>
      <c r="AK17" s="151">
        <f ca="1">OFFSET(IND!AN$25,$E17,0)</f>
        <v>9.6615911558406928</v>
      </c>
      <c r="AL17" s="151">
        <f ca="1">OFFSET(IND!AO$25,$E17,0)</f>
        <v>11.332398384073377</v>
      </c>
      <c r="AM17" s="151">
        <f ca="1">OFFSET(IND!AP$25,$E17,0)</f>
        <v>13.002604408030116</v>
      </c>
      <c r="AQ17" s="4"/>
    </row>
    <row r="18" spans="1:43">
      <c r="A18" s="36" t="s">
        <v>330</v>
      </c>
      <c r="B18">
        <v>14.828694985169999</v>
      </c>
      <c r="E18" s="154">
        <f ca="1">MATCH(F18,IND!$D$26:$D$255,0)</f>
        <v>114</v>
      </c>
      <c r="F18" s="4" t="str">
        <f t="shared" si="0"/>
        <v>ICPP</v>
      </c>
      <c r="G18" s="151">
        <f ca="1">OFFSET(IND!J$25,$E18,0)</f>
        <v>7.7906728472946494</v>
      </c>
      <c r="H18" s="151">
        <f ca="1">OFFSET(IND!K$25,$E18,0)</f>
        <v>7.9441727399812283</v>
      </c>
      <c r="I18" s="151">
        <f ca="1">OFFSET(IND!L$25,$E18,0)</f>
        <v>8.0976726326678072</v>
      </c>
      <c r="J18" s="151">
        <f ca="1">OFFSET(IND!M$25,$E18,0)</f>
        <v>8.9558</v>
      </c>
      <c r="K18" s="151">
        <f ca="1">OFFSET(IND!N$25,$E18,0)</f>
        <v>8.9558</v>
      </c>
      <c r="L18" s="151">
        <f ca="1">OFFSET(IND!O$25,$E18,0)</f>
        <v>8.9558</v>
      </c>
      <c r="M18" s="151">
        <f ca="1">OFFSET(IND!P$25,$E18,0)</f>
        <v>8.9887951218690052</v>
      </c>
      <c r="N18" s="151">
        <f ca="1">OFFSET(IND!Q$25,$E18,0)</f>
        <v>9.0217902437380122</v>
      </c>
      <c r="O18" s="245">
        <f ca="1">OFFSET(IND!R$25,$E18,0)</f>
        <v>9.0547853656070227</v>
      </c>
      <c r="P18" s="151">
        <f ca="1">OFFSET(IND!S$25,$E18,0)</f>
        <v>9.2147144459681147</v>
      </c>
      <c r="Q18" s="151">
        <f ca="1">OFFSET(IND!T$25,$E18,0)</f>
        <v>9.3746435263292067</v>
      </c>
      <c r="R18" s="151">
        <f ca="1">OFFSET(IND!U$25,$E18,0)</f>
        <v>9.5345726066902987</v>
      </c>
      <c r="S18" s="151">
        <f ca="1">OFFSET(IND!V$25,$E18,0)</f>
        <v>9.6945016870513907</v>
      </c>
      <c r="T18" s="245">
        <f ca="1">OFFSET(IND!W$25,$E18,0)</f>
        <v>9.8544307674124809</v>
      </c>
      <c r="U18" s="151">
        <f ca="1">OFFSET(IND!X$25,$E18,0)</f>
        <v>10.096319656227006</v>
      </c>
      <c r="V18" s="151">
        <f ca="1">OFFSET(IND!Y$25,$E18,0)</f>
        <v>10.338208545041534</v>
      </c>
      <c r="W18" s="151">
        <f ca="1">OFFSET(IND!Z$25,$E18,0)</f>
        <v>10.580097433856059</v>
      </c>
      <c r="X18" s="151">
        <f ca="1">OFFSET(IND!AA$25,$E18,0)</f>
        <v>10.821986322670584</v>
      </c>
      <c r="Y18" s="247">
        <f ca="1">OFFSET(IND!AB$25,$E18,0)</f>
        <v>11.063875211485113</v>
      </c>
      <c r="Z18" s="151">
        <f ca="1">OFFSET(IND!AC$25,$E18,0)</f>
        <v>11.338113213323259</v>
      </c>
      <c r="AA18" s="151">
        <f ca="1">OFFSET(IND!AD$25,$E18,0)</f>
        <v>11.612351215161407</v>
      </c>
      <c r="AB18" s="151">
        <f ca="1">OFFSET(IND!AE$25,$E18,0)</f>
        <v>11.886589216999553</v>
      </c>
      <c r="AC18" s="151">
        <f ca="1">OFFSET(IND!AF$25,$E18,0)</f>
        <v>12.160827218837701</v>
      </c>
      <c r="AD18" s="151">
        <f ca="1">OFFSET(IND!AG$25,$E18,0)</f>
        <v>12.435065220675849</v>
      </c>
      <c r="AE18" s="151">
        <f ca="1">OFFSET(IND!AH$25,$E18,0)</f>
        <v>12.745036972700058</v>
      </c>
      <c r="AF18" s="151">
        <f ca="1">OFFSET(IND!AI$25,$E18,0)</f>
        <v>13.055008724724265</v>
      </c>
      <c r="AG18" s="151">
        <f ca="1">OFFSET(IND!AJ$25,$E18,0)</f>
        <v>13.364980476748475</v>
      </c>
      <c r="AH18" s="151">
        <f ca="1">OFFSET(IND!AK$25,$E18,0)</f>
        <v>13.674952228772682</v>
      </c>
      <c r="AI18" s="151">
        <f ca="1">OFFSET(IND!AL$25,$E18,0)</f>
        <v>13.984923980796887</v>
      </c>
      <c r="AJ18" s="151">
        <f ca="1">OFFSET(IND!AM$25,$E18,0)</f>
        <v>15.449510574207611</v>
      </c>
      <c r="AK18" s="151">
        <f ca="1">OFFSET(IND!AN$25,$E18,0)</f>
        <v>16.907784522721215</v>
      </c>
      <c r="AL18" s="151">
        <f ca="1">OFFSET(IND!AO$25,$E18,0)</f>
        <v>19.831697172128415</v>
      </c>
      <c r="AM18" s="151">
        <f ca="1">OFFSET(IND!AP$25,$E18,0)</f>
        <v>22.754557714052709</v>
      </c>
      <c r="AQ18" s="4"/>
    </row>
    <row r="19" spans="1:43">
      <c r="A19" s="36" t="s">
        <v>331</v>
      </c>
      <c r="B19">
        <v>32.941303389589997</v>
      </c>
      <c r="E19" s="154">
        <f ca="1">MATCH(F19,IND!$D$26:$D$255,0)</f>
        <v>119</v>
      </c>
      <c r="F19" s="4" t="str">
        <f t="shared" si="0"/>
        <v>ICPS</v>
      </c>
      <c r="G19" s="151">
        <f ca="1">OFFSET(IND!J$25,$E19,0)</f>
        <v>27.288197120140854</v>
      </c>
      <c r="H19" s="151">
        <f ca="1">OFFSET(IND!K$25,$E19,0)</f>
        <v>27.825857398226642</v>
      </c>
      <c r="I19" s="151">
        <f ca="1">OFFSET(IND!L$25,$E19,0)</f>
        <v>28.363517676312426</v>
      </c>
      <c r="J19" s="151">
        <f ca="1">OFFSET(IND!M$25,$E19,0)</f>
        <v>20.990606000000003</v>
      </c>
      <c r="K19" s="151">
        <f ca="1">OFFSET(IND!N$25,$E19,0)</f>
        <v>20.990606000000003</v>
      </c>
      <c r="L19" s="151">
        <f ca="1">OFFSET(IND!O$25,$E19,0)</f>
        <v>20.990606000000003</v>
      </c>
      <c r="M19" s="151">
        <f ca="1">OFFSET(IND!P$25,$E19,0)</f>
        <v>21.067939973857648</v>
      </c>
      <c r="N19" s="151">
        <f ca="1">OFFSET(IND!Q$25,$E19,0)</f>
        <v>21.145273947715292</v>
      </c>
      <c r="O19" s="245">
        <f ca="1">OFFSET(IND!R$25,$E19,0)</f>
        <v>21.222607921572944</v>
      </c>
      <c r="P19" s="151">
        <f ca="1">OFFSET(IND!S$25,$E19,0)</f>
        <v>21.597449735124165</v>
      </c>
      <c r="Q19" s="151">
        <f ca="1">OFFSET(IND!T$25,$E19,0)</f>
        <v>21.972291548675383</v>
      </c>
      <c r="R19" s="151">
        <f ca="1">OFFSET(IND!U$25,$E19,0)</f>
        <v>22.347133362226604</v>
      </c>
      <c r="S19" s="151">
        <f ca="1">OFFSET(IND!V$25,$E19,0)</f>
        <v>22.721975175777821</v>
      </c>
      <c r="T19" s="245">
        <f ca="1">OFFSET(IND!W$25,$E19,0)</f>
        <v>23.096816989329035</v>
      </c>
      <c r="U19" s="151">
        <f ca="1">OFFSET(IND!X$25,$E19,0)</f>
        <v>23.663756219870528</v>
      </c>
      <c r="V19" s="151">
        <f ca="1">OFFSET(IND!Y$25,$E19,0)</f>
        <v>24.230695450412025</v>
      </c>
      <c r="W19" s="151">
        <f ca="1">OFFSET(IND!Z$25,$E19,0)</f>
        <v>24.797634680953518</v>
      </c>
      <c r="X19" s="151">
        <f ca="1">OFFSET(IND!AA$25,$E19,0)</f>
        <v>25.364573911495011</v>
      </c>
      <c r="Y19" s="247">
        <f ca="1">OFFSET(IND!AB$25,$E19,0)</f>
        <v>25.931513142036511</v>
      </c>
      <c r="Z19" s="151">
        <f ca="1">OFFSET(IND!AC$25,$E19,0)</f>
        <v>26.574272230762457</v>
      </c>
      <c r="AA19" s="151">
        <f ca="1">OFFSET(IND!AD$25,$E19,0)</f>
        <v>27.217031319488402</v>
      </c>
      <c r="AB19" s="151">
        <f ca="1">OFFSET(IND!AE$25,$E19,0)</f>
        <v>27.859790408214344</v>
      </c>
      <c r="AC19" s="151">
        <f ca="1">OFFSET(IND!AF$25,$E19,0)</f>
        <v>28.50254949694029</v>
      </c>
      <c r="AD19" s="151">
        <f ca="1">OFFSET(IND!AG$25,$E19,0)</f>
        <v>29.145308585666239</v>
      </c>
      <c r="AE19" s="151">
        <f ca="1">OFFSET(IND!AH$25,$E19,0)</f>
        <v>29.871820445898699</v>
      </c>
      <c r="AF19" s="151">
        <f ca="1">OFFSET(IND!AI$25,$E19,0)</f>
        <v>30.598332306131155</v>
      </c>
      <c r="AG19" s="151">
        <f ca="1">OFFSET(IND!AJ$25,$E19,0)</f>
        <v>31.324844166363615</v>
      </c>
      <c r="AH19" s="151">
        <f ca="1">OFFSET(IND!AK$25,$E19,0)</f>
        <v>32.051356026596075</v>
      </c>
      <c r="AI19" s="151">
        <f ca="1">OFFSET(IND!AL$25,$E19,0)</f>
        <v>32.777867886828531</v>
      </c>
      <c r="AJ19" s="151">
        <f ca="1">OFFSET(IND!AM$25,$E19,0)</f>
        <v>36.210566264993147</v>
      </c>
      <c r="AK19" s="151">
        <f ca="1">OFFSET(IND!AN$25,$E19,0)</f>
        <v>39.628469064666362</v>
      </c>
      <c r="AL19" s="151">
        <f ca="1">OFFSET(IND!AO$25,$E19,0)</f>
        <v>46.481536172252802</v>
      </c>
      <c r="AM19" s="151">
        <f ca="1">OFFSET(IND!AP$25,$E19,0)</f>
        <v>53.332137350090555</v>
      </c>
      <c r="AQ19" s="4"/>
    </row>
    <row r="20" spans="1:43">
      <c r="A20" s="36" t="s">
        <v>332</v>
      </c>
      <c r="B20">
        <v>39.685391397639997</v>
      </c>
      <c r="E20" s="154">
        <f ca="1">MATCH(F20,IND!$D$26:$D$255,0)</f>
        <v>126</v>
      </c>
      <c r="F20" s="4" t="str">
        <f t="shared" si="0"/>
        <v>ICPT</v>
      </c>
      <c r="G20" s="151">
        <f ca="1">OFFSET(IND!J$25,$E20,0)</f>
        <v>39.004000030517574</v>
      </c>
      <c r="H20" s="151">
        <f ca="1">OFFSET(IND!K$25,$E20,0)</f>
        <v>39.772497172726645</v>
      </c>
      <c r="I20" s="151">
        <f ca="1">OFFSET(IND!L$25,$E20,0)</f>
        <v>40.540994314935716</v>
      </c>
      <c r="J20" s="151">
        <f ca="1">OFFSET(IND!M$25,$E20,0)</f>
        <v>49.996000000000002</v>
      </c>
      <c r="K20" s="151">
        <f ca="1">OFFSET(IND!N$25,$E20,0)</f>
        <v>49.996000000000002</v>
      </c>
      <c r="L20" s="151">
        <f ca="1">OFFSET(IND!O$25,$E20,0)</f>
        <v>49.996000000000002</v>
      </c>
      <c r="M20" s="151">
        <f ca="1">OFFSET(IND!P$25,$E20,0)</f>
        <v>50.18019617599353</v>
      </c>
      <c r="N20" s="151">
        <f ca="1">OFFSET(IND!Q$25,$E20,0)</f>
        <v>50.364392351987057</v>
      </c>
      <c r="O20" s="245">
        <f ca="1">OFFSET(IND!R$25,$E20,0)</f>
        <v>50.548588527980606</v>
      </c>
      <c r="P20" s="151">
        <f ca="1">OFFSET(IND!S$25,$E20,0)</f>
        <v>51.441397020994422</v>
      </c>
      <c r="Q20" s="151">
        <f ca="1">OFFSET(IND!T$25,$E20,0)</f>
        <v>52.334205514008239</v>
      </c>
      <c r="R20" s="151">
        <f ca="1">OFFSET(IND!U$25,$E20,0)</f>
        <v>53.227014007022063</v>
      </c>
      <c r="S20" s="151">
        <f ca="1">OFFSET(IND!V$25,$E20,0)</f>
        <v>54.11982250003588</v>
      </c>
      <c r="T20" s="245">
        <f ca="1">OFFSET(IND!W$25,$E20,0)</f>
        <v>55.01263099304969</v>
      </c>
      <c r="U20" s="151">
        <f ca="1">OFFSET(IND!X$25,$E20,0)</f>
        <v>56.362982372621701</v>
      </c>
      <c r="V20" s="151">
        <f ca="1">OFFSET(IND!Y$25,$E20,0)</f>
        <v>57.713333752193719</v>
      </c>
      <c r="W20" s="151">
        <f ca="1">OFFSET(IND!Z$25,$E20,0)</f>
        <v>59.06368513176573</v>
      </c>
      <c r="X20" s="151">
        <f ca="1">OFFSET(IND!AA$25,$E20,0)</f>
        <v>60.414036511337741</v>
      </c>
      <c r="Y20" s="247">
        <f ca="1">OFFSET(IND!AB$25,$E20,0)</f>
        <v>61.764387890909767</v>
      </c>
      <c r="Z20" s="151">
        <f ca="1">OFFSET(IND!AC$25,$E20,0)</f>
        <v>63.295329084315156</v>
      </c>
      <c r="AA20" s="151">
        <f ca="1">OFFSET(IND!AD$25,$E20,0)</f>
        <v>64.826270277720553</v>
      </c>
      <c r="AB20" s="151">
        <f ca="1">OFFSET(IND!AE$25,$E20,0)</f>
        <v>66.357211471125936</v>
      </c>
      <c r="AC20" s="151">
        <f ca="1">OFFSET(IND!AF$25,$E20,0)</f>
        <v>67.888152664531333</v>
      </c>
      <c r="AD20" s="151">
        <f ca="1">OFFSET(IND!AG$25,$E20,0)</f>
        <v>69.41909385793673</v>
      </c>
      <c r="AE20" s="151">
        <f ca="1">OFFSET(IND!AH$25,$E20,0)</f>
        <v>71.14951969529379</v>
      </c>
      <c r="AF20" s="151">
        <f ca="1">OFFSET(IND!AI$25,$E20,0)</f>
        <v>72.879945532650837</v>
      </c>
      <c r="AG20" s="151">
        <f ca="1">OFFSET(IND!AJ$25,$E20,0)</f>
        <v>74.610371370007897</v>
      </c>
      <c r="AH20" s="151">
        <f ca="1">OFFSET(IND!AK$25,$E20,0)</f>
        <v>76.340797207364943</v>
      </c>
      <c r="AI20" s="151">
        <f ca="1">OFFSET(IND!AL$25,$E20,0)</f>
        <v>78.071223044721989</v>
      </c>
      <c r="AJ20" s="151">
        <f ca="1">OFFSET(IND!AM$25,$E20,0)</f>
        <v>86.247318013810457</v>
      </c>
      <c r="AK20" s="151">
        <f ca="1">OFFSET(IND!AN$25,$E20,0)</f>
        <v>94.388172469011138</v>
      </c>
      <c r="AL20" s="151">
        <f ca="1">OFFSET(IND!AO$25,$E20,0)</f>
        <v>110.71099531228168</v>
      </c>
      <c r="AM20" s="151">
        <f ca="1">OFFSET(IND!AP$25,$E20,0)</f>
        <v>127.02794473657065</v>
      </c>
      <c r="AQ20" s="4"/>
    </row>
    <row r="21" spans="1:43">
      <c r="A21" s="36" t="s">
        <v>333</v>
      </c>
      <c r="B21">
        <v>5.3061366499999998E-2</v>
      </c>
      <c r="E21" s="154">
        <f ca="1">MATCH(F21,IND!$D$26:$D$255,0)</f>
        <v>169</v>
      </c>
      <c r="F21" s="4" t="str">
        <f t="shared" si="0"/>
        <v>IFBA</v>
      </c>
      <c r="G21" s="151">
        <f ca="1">OFFSET(IND!J$25,$E21,0)</f>
        <v>3.1931633262906718E-2</v>
      </c>
      <c r="H21" s="151">
        <f ca="1">OFFSET(IND!K$25,$E21,0)</f>
        <v>3.2792575257344407E-2</v>
      </c>
      <c r="I21" s="151">
        <f ca="1">OFFSET(IND!L$25,$E21,0)</f>
        <v>3.3653517251782089E-2</v>
      </c>
      <c r="J21" s="151">
        <f ca="1">OFFSET(IND!M$25,$E21,0)</f>
        <v>2.9904000000000003E-2</v>
      </c>
      <c r="K21" s="151">
        <f ca="1">OFFSET(IND!N$25,$E21,0)</f>
        <v>2.9904000000000003E-2</v>
      </c>
      <c r="L21" s="151">
        <f ca="1">OFFSET(IND!O$25,$E21,0)</f>
        <v>2.9904000000000003E-2</v>
      </c>
      <c r="M21" s="151">
        <f ca="1">OFFSET(IND!P$25,$E21,0)</f>
        <v>3.0250821469161918E-2</v>
      </c>
      <c r="N21" s="151">
        <f ca="1">OFFSET(IND!Q$25,$E21,0)</f>
        <v>3.059764293832383E-2</v>
      </c>
      <c r="O21" s="245">
        <f ca="1">OFFSET(IND!R$25,$E21,0)</f>
        <v>3.0944464407485741E-2</v>
      </c>
      <c r="P21" s="151">
        <f ca="1">OFFSET(IND!S$25,$E21,0)</f>
        <v>3.1506852854748212E-2</v>
      </c>
      <c r="Q21" s="151">
        <f ca="1">OFFSET(IND!T$25,$E21,0)</f>
        <v>3.2069241302010686E-2</v>
      </c>
      <c r="R21" s="151">
        <f ca="1">OFFSET(IND!U$25,$E21,0)</f>
        <v>3.2631629749273153E-2</v>
      </c>
      <c r="S21" s="151">
        <f ca="1">OFFSET(IND!V$25,$E21,0)</f>
        <v>3.319401819653562E-2</v>
      </c>
      <c r="T21" s="245">
        <f ca="1">OFFSET(IND!W$25,$E21,0)</f>
        <v>3.375640664379808E-2</v>
      </c>
      <c r="U21" s="151">
        <f ca="1">OFFSET(IND!X$25,$E21,0)</f>
        <v>3.4527374835438586E-2</v>
      </c>
      <c r="V21" s="151">
        <f ca="1">OFFSET(IND!Y$25,$E21,0)</f>
        <v>3.5298343027079092E-2</v>
      </c>
      <c r="W21" s="151">
        <f ca="1">OFFSET(IND!Z$25,$E21,0)</f>
        <v>3.6069311218719598E-2</v>
      </c>
      <c r="X21" s="151">
        <f ca="1">OFFSET(IND!AA$25,$E21,0)</f>
        <v>3.6840279410360104E-2</v>
      </c>
      <c r="Y21" s="247">
        <f ca="1">OFFSET(IND!AB$25,$E21,0)</f>
        <v>3.7611247602000603E-2</v>
      </c>
      <c r="Z21" s="151">
        <f ca="1">OFFSET(IND!AC$25,$E21,0)</f>
        <v>3.8271303294330726E-2</v>
      </c>
      <c r="AA21" s="151">
        <f ca="1">OFFSET(IND!AD$25,$E21,0)</f>
        <v>3.8931358986660843E-2</v>
      </c>
      <c r="AB21" s="151">
        <f ca="1">OFFSET(IND!AE$25,$E21,0)</f>
        <v>3.9591414678990959E-2</v>
      </c>
      <c r="AC21" s="151">
        <f ca="1">OFFSET(IND!AF$25,$E21,0)</f>
        <v>4.0251470371321069E-2</v>
      </c>
      <c r="AD21" s="151">
        <f ca="1">OFFSET(IND!AG$25,$E21,0)</f>
        <v>4.0911526063651185E-2</v>
      </c>
      <c r="AE21" s="151">
        <f ca="1">OFFSET(IND!AH$25,$E21,0)</f>
        <v>4.1678818356484786E-2</v>
      </c>
      <c r="AF21" s="151">
        <f ca="1">OFFSET(IND!AI$25,$E21,0)</f>
        <v>4.2446110649318386E-2</v>
      </c>
      <c r="AG21" s="151">
        <f ca="1">OFFSET(IND!AJ$25,$E21,0)</f>
        <v>4.3213402942151986E-2</v>
      </c>
      <c r="AH21" s="151">
        <f ca="1">OFFSET(IND!AK$25,$E21,0)</f>
        <v>4.3980695234985594E-2</v>
      </c>
      <c r="AI21" s="151">
        <f ca="1">OFFSET(IND!AL$25,$E21,0)</f>
        <v>4.4747987527819194E-2</v>
      </c>
      <c r="AJ21" s="151">
        <f ca="1">OFFSET(IND!AM$25,$E21,0)</f>
        <v>4.8092185372312038E-2</v>
      </c>
      <c r="AK21" s="151">
        <f ca="1">OFFSET(IND!AN$25,$E21,0)</f>
        <v>5.1656732910720184E-2</v>
      </c>
      <c r="AL21" s="151">
        <f ca="1">OFFSET(IND!AO$25,$E21,0)</f>
        <v>5.852875334463524E-2</v>
      </c>
      <c r="AM21" s="151">
        <f ca="1">OFFSET(IND!AP$25,$E21,0)</f>
        <v>6.5437498727536361E-2</v>
      </c>
      <c r="AQ21" s="4"/>
    </row>
    <row r="22" spans="1:43">
      <c r="A22" s="36" t="s">
        <v>334</v>
      </c>
      <c r="B22">
        <v>12.204114317089999</v>
      </c>
      <c r="E22" s="154">
        <f ca="1">MATCH(F22,IND!$D$26:$D$255,0)</f>
        <v>171</v>
      </c>
      <c r="F22" s="4" t="str">
        <f t="shared" si="0"/>
        <v>IFBC</v>
      </c>
      <c r="G22" s="151">
        <f ca="1">OFFSET(IND!J$25,$E22,0)</f>
        <v>7.3442756504685454</v>
      </c>
      <c r="H22" s="151">
        <f ca="1">OFFSET(IND!K$25,$E22,0)</f>
        <v>7.5422923091892136</v>
      </c>
      <c r="I22" s="151">
        <f ca="1">OFFSET(IND!L$25,$E22,0)</f>
        <v>7.7403089679098809</v>
      </c>
      <c r="J22" s="151">
        <f ca="1">OFFSET(IND!M$25,$E22,0)</f>
        <v>6.8779200000000005</v>
      </c>
      <c r="K22" s="151">
        <f ca="1">OFFSET(IND!N$25,$E22,0)</f>
        <v>6.8779200000000005</v>
      </c>
      <c r="L22" s="151">
        <f ca="1">OFFSET(IND!O$25,$E22,0)</f>
        <v>6.8779200000000005</v>
      </c>
      <c r="M22" s="151">
        <f ca="1">OFFSET(IND!P$25,$E22,0)</f>
        <v>6.9576889379072409</v>
      </c>
      <c r="N22" s="151">
        <f ca="1">OFFSET(IND!Q$25,$E22,0)</f>
        <v>7.0374578758144803</v>
      </c>
      <c r="O22" s="245">
        <f ca="1">OFFSET(IND!R$25,$E22,0)</f>
        <v>7.1172268137217198</v>
      </c>
      <c r="P22" s="151">
        <f ca="1">OFFSET(IND!S$25,$E22,0)</f>
        <v>7.2465761565920879</v>
      </c>
      <c r="Q22" s="151">
        <f ca="1">OFFSET(IND!T$25,$E22,0)</f>
        <v>7.3759254994624559</v>
      </c>
      <c r="R22" s="151">
        <f ca="1">OFFSET(IND!U$25,$E22,0)</f>
        <v>7.5052748423328239</v>
      </c>
      <c r="S22" s="151">
        <f ca="1">OFFSET(IND!V$25,$E22,0)</f>
        <v>7.634624185203192</v>
      </c>
      <c r="T22" s="245">
        <f ca="1">OFFSET(IND!W$25,$E22,0)</f>
        <v>7.7639735280735573</v>
      </c>
      <c r="U22" s="151">
        <f ca="1">OFFSET(IND!X$25,$E22,0)</f>
        <v>7.9412962121508741</v>
      </c>
      <c r="V22" s="151">
        <f ca="1">OFFSET(IND!Y$25,$E22,0)</f>
        <v>8.11861889622819</v>
      </c>
      <c r="W22" s="151">
        <f ca="1">OFFSET(IND!Z$25,$E22,0)</f>
        <v>8.2959415803055077</v>
      </c>
      <c r="X22" s="151">
        <f ca="1">OFFSET(IND!AA$25,$E22,0)</f>
        <v>8.4732642643828235</v>
      </c>
      <c r="Y22" s="247">
        <f ca="1">OFFSET(IND!AB$25,$E22,0)</f>
        <v>8.6505869484601376</v>
      </c>
      <c r="Z22" s="151">
        <f ca="1">OFFSET(IND!AC$25,$E22,0)</f>
        <v>8.8023997576960653</v>
      </c>
      <c r="AA22" s="151">
        <f ca="1">OFFSET(IND!AD$25,$E22,0)</f>
        <v>8.9542125669319912</v>
      </c>
      <c r="AB22" s="151">
        <f ca="1">OFFSET(IND!AE$25,$E22,0)</f>
        <v>9.1060253761679171</v>
      </c>
      <c r="AC22" s="151">
        <f ca="1">OFFSET(IND!AF$25,$E22,0)</f>
        <v>9.257838185403843</v>
      </c>
      <c r="AD22" s="151">
        <f ca="1">OFFSET(IND!AG$25,$E22,0)</f>
        <v>9.4096509946397706</v>
      </c>
      <c r="AE22" s="151">
        <f ca="1">OFFSET(IND!AH$25,$E22,0)</f>
        <v>9.5861282219914994</v>
      </c>
      <c r="AF22" s="151">
        <f ca="1">OFFSET(IND!AI$25,$E22,0)</f>
        <v>9.7626054493432282</v>
      </c>
      <c r="AG22" s="151">
        <f ca="1">OFFSET(IND!AJ$25,$E22,0)</f>
        <v>9.9390826766949569</v>
      </c>
      <c r="AH22" s="151">
        <f ca="1">OFFSET(IND!AK$25,$E22,0)</f>
        <v>10.115559904046687</v>
      </c>
      <c r="AI22" s="151">
        <f ca="1">OFFSET(IND!AL$25,$E22,0)</f>
        <v>10.292037131398416</v>
      </c>
      <c r="AJ22" s="151">
        <f ca="1">OFFSET(IND!AM$25,$E22,0)</f>
        <v>11.061202635631771</v>
      </c>
      <c r="AK22" s="151">
        <f ca="1">OFFSET(IND!AN$25,$E22,0)</f>
        <v>11.881048569465646</v>
      </c>
      <c r="AL22" s="151">
        <f ca="1">OFFSET(IND!AO$25,$E22,0)</f>
        <v>13.46161326926611</v>
      </c>
      <c r="AM22" s="151">
        <f ca="1">OFFSET(IND!AP$25,$E22,0)</f>
        <v>15.05062470733337</v>
      </c>
      <c r="AQ22" s="4"/>
    </row>
    <row r="23" spans="1:43">
      <c r="A23" s="36" t="s">
        <v>335</v>
      </c>
      <c r="B23" t="s">
        <v>398</v>
      </c>
      <c r="E23" s="154">
        <f ca="1">MATCH(F23,IND!$D$26:$D$255,0)</f>
        <v>176</v>
      </c>
      <c r="F23" s="4" t="str">
        <f t="shared" si="0"/>
        <v>IFBE</v>
      </c>
      <c r="G23" s="151">
        <f ca="1">OFFSET(IND!J$25,$E23,0)</f>
        <v>0</v>
      </c>
      <c r="H23" s="151">
        <f ca="1">OFFSET(IND!K$25,$E23,0)</f>
        <v>0</v>
      </c>
      <c r="I23" s="151">
        <f ca="1">OFFSET(IND!L$25,$E23,0)</f>
        <v>0</v>
      </c>
      <c r="J23" s="151">
        <f ca="1">OFFSET(IND!M$25,$E23,0)</f>
        <v>0</v>
      </c>
      <c r="K23" s="151">
        <f ca="1">OFFSET(IND!N$25,$E23,0)</f>
        <v>0</v>
      </c>
      <c r="L23" s="151">
        <f ca="1">OFFSET(IND!O$25,$E23,0)</f>
        <v>0</v>
      </c>
      <c r="M23" s="151">
        <f ca="1">OFFSET(IND!P$25,$E23,0)</f>
        <v>0</v>
      </c>
      <c r="N23" s="151">
        <f ca="1">OFFSET(IND!Q$25,$E23,0)</f>
        <v>0</v>
      </c>
      <c r="O23" s="245">
        <f ca="1">OFFSET(IND!R$25,$E23,0)</f>
        <v>0</v>
      </c>
      <c r="P23" s="151">
        <f ca="1">OFFSET(IND!S$25,$E23,0)</f>
        <v>0</v>
      </c>
      <c r="Q23" s="151">
        <f ca="1">OFFSET(IND!T$25,$E23,0)</f>
        <v>0</v>
      </c>
      <c r="R23" s="151">
        <f ca="1">OFFSET(IND!U$25,$E23,0)</f>
        <v>0</v>
      </c>
      <c r="S23" s="151">
        <f ca="1">OFFSET(IND!V$25,$E23,0)</f>
        <v>0</v>
      </c>
      <c r="T23" s="245">
        <f ca="1">OFFSET(IND!W$25,$E23,0)</f>
        <v>0</v>
      </c>
      <c r="U23" s="151">
        <f ca="1">OFFSET(IND!X$25,$E23,0)</f>
        <v>0</v>
      </c>
      <c r="V23" s="151">
        <f ca="1">OFFSET(IND!Y$25,$E23,0)</f>
        <v>0</v>
      </c>
      <c r="W23" s="151">
        <f ca="1">OFFSET(IND!Z$25,$E23,0)</f>
        <v>0</v>
      </c>
      <c r="X23" s="151">
        <f ca="1">OFFSET(IND!AA$25,$E23,0)</f>
        <v>0</v>
      </c>
      <c r="Y23" s="247">
        <f ca="1">OFFSET(IND!AB$25,$E23,0)</f>
        <v>0</v>
      </c>
      <c r="Z23" s="151">
        <f ca="1">OFFSET(IND!AC$25,$E23,0)</f>
        <v>0</v>
      </c>
      <c r="AA23" s="151">
        <f ca="1">OFFSET(IND!AD$25,$E23,0)</f>
        <v>0</v>
      </c>
      <c r="AB23" s="151">
        <f ca="1">OFFSET(IND!AE$25,$E23,0)</f>
        <v>0</v>
      </c>
      <c r="AC23" s="151">
        <f ca="1">OFFSET(IND!AF$25,$E23,0)</f>
        <v>0</v>
      </c>
      <c r="AD23" s="151">
        <f ca="1">OFFSET(IND!AG$25,$E23,0)</f>
        <v>0</v>
      </c>
      <c r="AE23" s="151">
        <f ca="1">OFFSET(IND!AH$25,$E23,0)</f>
        <v>0</v>
      </c>
      <c r="AF23" s="151">
        <f ca="1">OFFSET(IND!AI$25,$E23,0)</f>
        <v>0</v>
      </c>
      <c r="AG23" s="151">
        <f ca="1">OFFSET(IND!AJ$25,$E23,0)</f>
        <v>0</v>
      </c>
      <c r="AH23" s="151">
        <f ca="1">OFFSET(IND!AK$25,$E23,0)</f>
        <v>0</v>
      </c>
      <c r="AI23" s="151">
        <f ca="1">OFFSET(IND!AL$25,$E23,0)</f>
        <v>0</v>
      </c>
      <c r="AJ23" s="151">
        <f ca="1">OFFSET(IND!AM$25,$E23,0)</f>
        <v>0</v>
      </c>
      <c r="AK23" s="151">
        <f ca="1">OFFSET(IND!AN$25,$E23,0)</f>
        <v>0</v>
      </c>
      <c r="AL23" s="151">
        <f ca="1">OFFSET(IND!AO$25,$E23,0)</f>
        <v>0</v>
      </c>
      <c r="AM23" s="151">
        <f ca="1">OFFSET(IND!AP$25,$E23,0)</f>
        <v>0</v>
      </c>
      <c r="AQ23" s="4"/>
    </row>
    <row r="24" spans="1:43">
      <c r="A24" s="36" t="s">
        <v>336</v>
      </c>
      <c r="B24">
        <v>0.84898186553730004</v>
      </c>
      <c r="E24" s="154">
        <f ca="1">MATCH(F24,IND!$D$26:$D$255,0)</f>
        <v>174</v>
      </c>
      <c r="F24" s="4" t="str">
        <f t="shared" si="0"/>
        <v>IFBF</v>
      </c>
      <c r="G24" s="151">
        <f ca="1">OFFSET(IND!J$25,$E24,0)</f>
        <v>0.51090613220650749</v>
      </c>
      <c r="H24" s="151">
        <f ca="1">OFFSET(IND!K$25,$E24,0)</f>
        <v>0.52468120411751051</v>
      </c>
      <c r="I24" s="151">
        <f ca="1">OFFSET(IND!L$25,$E24,0)</f>
        <v>0.53845627602851343</v>
      </c>
      <c r="J24" s="151">
        <f ca="1">OFFSET(IND!M$25,$E24,0)</f>
        <v>0.47846400000000006</v>
      </c>
      <c r="K24" s="151">
        <f ca="1">OFFSET(IND!N$25,$E24,0)</f>
        <v>0.47846400000000006</v>
      </c>
      <c r="L24" s="151">
        <f ca="1">OFFSET(IND!O$25,$E24,0)</f>
        <v>0.47846400000000006</v>
      </c>
      <c r="M24" s="151">
        <f ca="1">OFFSET(IND!P$25,$E24,0)</f>
        <v>0.48401314350659069</v>
      </c>
      <c r="N24" s="151">
        <f ca="1">OFFSET(IND!Q$25,$E24,0)</f>
        <v>0.48956228701318127</v>
      </c>
      <c r="O24" s="245">
        <f ca="1">OFFSET(IND!R$25,$E24,0)</f>
        <v>0.49511143051977186</v>
      </c>
      <c r="P24" s="151">
        <f ca="1">OFFSET(IND!S$25,$E24,0)</f>
        <v>0.50410964567597139</v>
      </c>
      <c r="Q24" s="151">
        <f ca="1">OFFSET(IND!T$25,$E24,0)</f>
        <v>0.51310786083217097</v>
      </c>
      <c r="R24" s="151">
        <f ca="1">OFFSET(IND!U$25,$E24,0)</f>
        <v>0.52210607598837044</v>
      </c>
      <c r="S24" s="151">
        <f ca="1">OFFSET(IND!V$25,$E24,0)</f>
        <v>0.53110429114456992</v>
      </c>
      <c r="T24" s="245">
        <f ca="1">OFFSET(IND!W$25,$E24,0)</f>
        <v>0.54010250630076928</v>
      </c>
      <c r="U24" s="151">
        <f ca="1">OFFSET(IND!X$25,$E24,0)</f>
        <v>0.55243799736701737</v>
      </c>
      <c r="V24" s="151">
        <f ca="1">OFFSET(IND!Y$25,$E24,0)</f>
        <v>0.56477348843326547</v>
      </c>
      <c r="W24" s="151">
        <f ca="1">OFFSET(IND!Z$25,$E24,0)</f>
        <v>0.57710897949951356</v>
      </c>
      <c r="X24" s="151">
        <f ca="1">OFFSET(IND!AA$25,$E24,0)</f>
        <v>0.58944447056576166</v>
      </c>
      <c r="Y24" s="247">
        <f ca="1">OFFSET(IND!AB$25,$E24,0)</f>
        <v>0.60177996163200964</v>
      </c>
      <c r="Z24" s="151">
        <f ca="1">OFFSET(IND!AC$25,$E24,0)</f>
        <v>0.61234085270929162</v>
      </c>
      <c r="AA24" s="151">
        <f ca="1">OFFSET(IND!AD$25,$E24,0)</f>
        <v>0.62290174378657348</v>
      </c>
      <c r="AB24" s="151">
        <f ca="1">OFFSET(IND!AE$25,$E24,0)</f>
        <v>0.63346263486385535</v>
      </c>
      <c r="AC24" s="151">
        <f ca="1">OFFSET(IND!AF$25,$E24,0)</f>
        <v>0.6440235259411371</v>
      </c>
      <c r="AD24" s="151">
        <f ca="1">OFFSET(IND!AG$25,$E24,0)</f>
        <v>0.65458441701841896</v>
      </c>
      <c r="AE24" s="151">
        <f ca="1">OFFSET(IND!AH$25,$E24,0)</f>
        <v>0.66686109370375657</v>
      </c>
      <c r="AF24" s="151">
        <f ca="1">OFFSET(IND!AI$25,$E24,0)</f>
        <v>0.67913777038909418</v>
      </c>
      <c r="AG24" s="151">
        <f ca="1">OFFSET(IND!AJ$25,$E24,0)</f>
        <v>0.69141444707443178</v>
      </c>
      <c r="AH24" s="151">
        <f ca="1">OFFSET(IND!AK$25,$E24,0)</f>
        <v>0.7036911237597695</v>
      </c>
      <c r="AI24" s="151">
        <f ca="1">OFFSET(IND!AL$25,$E24,0)</f>
        <v>0.71596780044510711</v>
      </c>
      <c r="AJ24" s="151">
        <f ca="1">OFFSET(IND!AM$25,$E24,0)</f>
        <v>0.76947496595699261</v>
      </c>
      <c r="AK24" s="151">
        <f ca="1">OFFSET(IND!AN$25,$E24,0)</f>
        <v>0.82650772657152294</v>
      </c>
      <c r="AL24" s="151">
        <f ca="1">OFFSET(IND!AO$25,$E24,0)</f>
        <v>0.93646005351416384</v>
      </c>
      <c r="AM24" s="151">
        <f ca="1">OFFSET(IND!AP$25,$E24,0)</f>
        <v>1.0469999796405818</v>
      </c>
      <c r="AQ24" s="4"/>
    </row>
    <row r="25" spans="1:43">
      <c r="A25" s="36" t="s">
        <v>337</v>
      </c>
      <c r="B25">
        <v>1.432656898094</v>
      </c>
      <c r="E25" s="154">
        <f ca="1">MATCH(F25,IND!$D$26:$D$255,0)</f>
        <v>172</v>
      </c>
      <c r="F25" s="4" t="str">
        <f t="shared" si="0"/>
        <v>IFBH</v>
      </c>
      <c r="G25" s="151">
        <f ca="1">OFFSET(IND!J$25,$E25,0)</f>
        <v>0.86215409809848131</v>
      </c>
      <c r="H25" s="151">
        <f ca="1">OFFSET(IND!K$25,$E25,0)</f>
        <v>0.8853995319482989</v>
      </c>
      <c r="I25" s="151">
        <f ca="1">OFFSET(IND!L$25,$E25,0)</f>
        <v>0.90864496579811627</v>
      </c>
      <c r="J25" s="151">
        <f ca="1">OFFSET(IND!M$25,$E25,0)</f>
        <v>0.8074079999999999</v>
      </c>
      <c r="K25" s="151">
        <f ca="1">OFFSET(IND!N$25,$E25,0)</f>
        <v>0.8074079999999999</v>
      </c>
      <c r="L25" s="151">
        <f ca="1">OFFSET(IND!O$25,$E25,0)</f>
        <v>0.8074079999999999</v>
      </c>
      <c r="M25" s="151">
        <f ca="1">OFFSET(IND!P$25,$E25,0)</f>
        <v>0.81677217966737159</v>
      </c>
      <c r="N25" s="151">
        <f ca="1">OFFSET(IND!Q$25,$E25,0)</f>
        <v>0.82613635933474316</v>
      </c>
      <c r="O25" s="245">
        <f ca="1">OFFSET(IND!R$25,$E25,0)</f>
        <v>0.83550053900211485</v>
      </c>
      <c r="P25" s="151">
        <f ca="1">OFFSET(IND!S$25,$E25,0)</f>
        <v>0.85068502707820159</v>
      </c>
      <c r="Q25" s="151">
        <f ca="1">OFFSET(IND!T$25,$E25,0)</f>
        <v>0.86586951515428834</v>
      </c>
      <c r="R25" s="151">
        <f ca="1">OFFSET(IND!U$25,$E25,0)</f>
        <v>0.88105400323037497</v>
      </c>
      <c r="S25" s="151">
        <f ca="1">OFFSET(IND!V$25,$E25,0)</f>
        <v>0.8962384913064616</v>
      </c>
      <c r="T25" s="245">
        <f ca="1">OFFSET(IND!W$25,$E25,0)</f>
        <v>0.9114229793825479</v>
      </c>
      <c r="U25" s="151">
        <f ca="1">OFFSET(IND!X$25,$E25,0)</f>
        <v>0.93223912055684155</v>
      </c>
      <c r="V25" s="151">
        <f ca="1">OFFSET(IND!Y$25,$E25,0)</f>
        <v>0.95305526173113519</v>
      </c>
      <c r="W25" s="151">
        <f ca="1">OFFSET(IND!Z$25,$E25,0)</f>
        <v>0.97387140290542895</v>
      </c>
      <c r="X25" s="151">
        <f ca="1">OFFSET(IND!AA$25,$E25,0)</f>
        <v>0.9946875440797226</v>
      </c>
      <c r="Y25" s="247">
        <f ca="1">OFFSET(IND!AB$25,$E25,0)</f>
        <v>1.015503685254016</v>
      </c>
      <c r="Z25" s="151">
        <f ca="1">OFFSET(IND!AC$25,$E25,0)</f>
        <v>1.0333251889469293</v>
      </c>
      <c r="AA25" s="151">
        <f ca="1">OFFSET(IND!AD$25,$E25,0)</f>
        <v>1.0511466926398423</v>
      </c>
      <c r="AB25" s="151">
        <f ca="1">OFFSET(IND!AE$25,$E25,0)</f>
        <v>1.0689681963327553</v>
      </c>
      <c r="AC25" s="151">
        <f ca="1">OFFSET(IND!AF$25,$E25,0)</f>
        <v>1.0867897000256683</v>
      </c>
      <c r="AD25" s="151">
        <f ca="1">OFFSET(IND!AG$25,$E25,0)</f>
        <v>1.1046112037185816</v>
      </c>
      <c r="AE25" s="151">
        <f ca="1">OFFSET(IND!AH$25,$E25,0)</f>
        <v>1.1253280956250888</v>
      </c>
      <c r="AF25" s="151">
        <f ca="1">OFFSET(IND!AI$25,$E25,0)</f>
        <v>1.1460449875315961</v>
      </c>
      <c r="AG25" s="151">
        <f ca="1">OFFSET(IND!AJ$25,$E25,0)</f>
        <v>1.1667618794381034</v>
      </c>
      <c r="AH25" s="151">
        <f ca="1">OFFSET(IND!AK$25,$E25,0)</f>
        <v>1.1874787713446109</v>
      </c>
      <c r="AI25" s="151">
        <f ca="1">OFFSET(IND!AL$25,$E25,0)</f>
        <v>1.2081956632511182</v>
      </c>
      <c r="AJ25" s="151">
        <f ca="1">OFFSET(IND!AM$25,$E25,0)</f>
        <v>1.2984890050524249</v>
      </c>
      <c r="AK25" s="151">
        <f ca="1">OFFSET(IND!AN$25,$E25,0)</f>
        <v>1.394731788589445</v>
      </c>
      <c r="AL25" s="151">
        <f ca="1">OFFSET(IND!AO$25,$E25,0)</f>
        <v>1.5802763403051516</v>
      </c>
      <c r="AM25" s="151">
        <f ca="1">OFFSET(IND!AP$25,$E25,0)</f>
        <v>1.766812465643482</v>
      </c>
      <c r="AQ25" s="4"/>
    </row>
    <row r="26" spans="1:43">
      <c r="A26" s="36" t="s">
        <v>338</v>
      </c>
      <c r="B26">
        <v>1.857147830862</v>
      </c>
      <c r="E26" s="154">
        <f ca="1">MATCH(F26,IND!$D$26:$D$255,0)</f>
        <v>168</v>
      </c>
      <c r="F26" s="4" t="str">
        <f t="shared" si="0"/>
        <v>IFBK</v>
      </c>
      <c r="G26" s="151">
        <f ca="1">OFFSET(IND!J$25,$E26,0)</f>
        <v>1.1176071642017353</v>
      </c>
      <c r="H26" s="151">
        <f ca="1">OFFSET(IND!K$25,$E26,0)</f>
        <v>1.1477401340070543</v>
      </c>
      <c r="I26" s="151">
        <f ca="1">OFFSET(IND!L$25,$E26,0)</f>
        <v>1.1778731038123733</v>
      </c>
      <c r="J26" s="151">
        <f ca="1">OFFSET(IND!M$25,$E26,0)</f>
        <v>1.04664</v>
      </c>
      <c r="K26" s="151">
        <f ca="1">OFFSET(IND!N$25,$E26,0)</f>
        <v>1.04664</v>
      </c>
      <c r="L26" s="151">
        <f ca="1">OFFSET(IND!O$25,$E26,0)</f>
        <v>1.04664</v>
      </c>
      <c r="M26" s="151">
        <f ca="1">OFFSET(IND!P$25,$E26,0)</f>
        <v>1.058778751420667</v>
      </c>
      <c r="N26" s="151">
        <f ca="1">OFFSET(IND!Q$25,$E26,0)</f>
        <v>1.070917502841334</v>
      </c>
      <c r="O26" s="245">
        <f ca="1">OFFSET(IND!R$25,$E26,0)</f>
        <v>1.083056254262001</v>
      </c>
      <c r="P26" s="151">
        <f ca="1">OFFSET(IND!S$25,$E26,0)</f>
        <v>1.1027398499161876</v>
      </c>
      <c r="Q26" s="151">
        <f ca="1">OFFSET(IND!T$25,$E26,0)</f>
        <v>1.1224234455703741</v>
      </c>
      <c r="R26" s="151">
        <f ca="1">OFFSET(IND!U$25,$E26,0)</f>
        <v>1.1421070412245606</v>
      </c>
      <c r="S26" s="151">
        <f ca="1">OFFSET(IND!V$25,$E26,0)</f>
        <v>1.1617906368787472</v>
      </c>
      <c r="T26" s="245">
        <f ca="1">OFFSET(IND!W$25,$E26,0)</f>
        <v>1.1814742325329333</v>
      </c>
      <c r="U26" s="151">
        <f ca="1">OFFSET(IND!X$25,$E26,0)</f>
        <v>1.208458119240351</v>
      </c>
      <c r="V26" s="151">
        <f ca="1">OFFSET(IND!Y$25,$E26,0)</f>
        <v>1.2354420059477687</v>
      </c>
      <c r="W26" s="151">
        <f ca="1">OFFSET(IND!Z$25,$E26,0)</f>
        <v>1.2624258926551863</v>
      </c>
      <c r="X26" s="151">
        <f ca="1">OFFSET(IND!AA$25,$E26,0)</f>
        <v>1.289409779362604</v>
      </c>
      <c r="Y26" s="247">
        <f ca="1">OFFSET(IND!AB$25,$E26,0)</f>
        <v>1.3163936660700215</v>
      </c>
      <c r="Z26" s="151">
        <f ca="1">OFFSET(IND!AC$25,$E26,0)</f>
        <v>1.3394956153015758</v>
      </c>
      <c r="AA26" s="151">
        <f ca="1">OFFSET(IND!AD$25,$E26,0)</f>
        <v>1.3625975645331299</v>
      </c>
      <c r="AB26" s="151">
        <f ca="1">OFFSET(IND!AE$25,$E26,0)</f>
        <v>1.3856995137646839</v>
      </c>
      <c r="AC26" s="151">
        <f ca="1">OFFSET(IND!AF$25,$E26,0)</f>
        <v>1.4088014629962378</v>
      </c>
      <c r="AD26" s="151">
        <f ca="1">OFFSET(IND!AG$25,$E26,0)</f>
        <v>1.4319034122277918</v>
      </c>
      <c r="AE26" s="151">
        <f ca="1">OFFSET(IND!AH$25,$E26,0)</f>
        <v>1.4587586424769678</v>
      </c>
      <c r="AF26" s="151">
        <f ca="1">OFFSET(IND!AI$25,$E26,0)</f>
        <v>1.4856138727261439</v>
      </c>
      <c r="AG26" s="151">
        <f ca="1">OFFSET(IND!AJ$25,$E26,0)</f>
        <v>1.5124691029753199</v>
      </c>
      <c r="AH26" s="151">
        <f ca="1">OFFSET(IND!AK$25,$E26,0)</f>
        <v>1.5393243332244961</v>
      </c>
      <c r="AI26" s="151">
        <f ca="1">OFFSET(IND!AL$25,$E26,0)</f>
        <v>1.5661795634736722</v>
      </c>
      <c r="AJ26" s="151">
        <f ca="1">OFFSET(IND!AM$25,$E26,0)</f>
        <v>1.6832264880309216</v>
      </c>
      <c r="AK26" s="151">
        <f ca="1">OFFSET(IND!AN$25,$E26,0)</f>
        <v>1.8079856518752069</v>
      </c>
      <c r="AL26" s="151">
        <f ca="1">OFFSET(IND!AO$25,$E26,0)</f>
        <v>2.0485063670622341</v>
      </c>
      <c r="AM26" s="151">
        <f ca="1">OFFSET(IND!AP$25,$E26,0)</f>
        <v>2.2903124554637735</v>
      </c>
      <c r="AQ26" s="4"/>
    </row>
    <row r="27" spans="1:43">
      <c r="A27" s="36" t="s">
        <v>339</v>
      </c>
      <c r="B27">
        <v>0.39796024947059999</v>
      </c>
      <c r="E27" s="154">
        <f ca="1">MATCH(F27,IND!$D$26:$D$255,0)</f>
        <v>170</v>
      </c>
      <c r="F27" s="4" t="str">
        <f t="shared" si="0"/>
        <v>IFBL</v>
      </c>
      <c r="G27" s="151">
        <f ca="1">OFFSET(IND!J$25,$E27,0)</f>
        <v>0.23948724947180039</v>
      </c>
      <c r="H27" s="151">
        <f ca="1">OFFSET(IND!K$25,$E27,0)</f>
        <v>0.24594431443008305</v>
      </c>
      <c r="I27" s="151">
        <f ca="1">OFFSET(IND!L$25,$E27,0)</f>
        <v>0.25240137938836565</v>
      </c>
      <c r="J27" s="151">
        <f ca="1">OFFSET(IND!M$25,$E27,0)</f>
        <v>0.22428000000000001</v>
      </c>
      <c r="K27" s="151">
        <f ca="1">OFFSET(IND!N$25,$E27,0)</f>
        <v>0.22428000000000001</v>
      </c>
      <c r="L27" s="151">
        <f ca="1">OFFSET(IND!O$25,$E27,0)</f>
        <v>0.22428000000000001</v>
      </c>
      <c r="M27" s="151">
        <f ca="1">OFFSET(IND!P$25,$E27,0)</f>
        <v>0.22688116101871439</v>
      </c>
      <c r="N27" s="151">
        <f ca="1">OFFSET(IND!Q$25,$E27,0)</f>
        <v>0.22948232203742872</v>
      </c>
      <c r="O27" s="245">
        <f ca="1">OFFSET(IND!R$25,$E27,0)</f>
        <v>0.23208348305614307</v>
      </c>
      <c r="P27" s="151">
        <f ca="1">OFFSET(IND!S$25,$E27,0)</f>
        <v>0.2363013964106116</v>
      </c>
      <c r="Q27" s="151">
        <f ca="1">OFFSET(IND!T$25,$E27,0)</f>
        <v>0.24051930976508012</v>
      </c>
      <c r="R27" s="151">
        <f ca="1">OFFSET(IND!U$25,$E27,0)</f>
        <v>0.24473722311954865</v>
      </c>
      <c r="S27" s="151">
        <f ca="1">OFFSET(IND!V$25,$E27,0)</f>
        <v>0.24895513647401718</v>
      </c>
      <c r="T27" s="245">
        <f ca="1">OFFSET(IND!W$25,$E27,0)</f>
        <v>0.2531730498284856</v>
      </c>
      <c r="U27" s="151">
        <f ca="1">OFFSET(IND!X$25,$E27,0)</f>
        <v>0.25895531126578941</v>
      </c>
      <c r="V27" s="151">
        <f ca="1">OFFSET(IND!Y$25,$E27,0)</f>
        <v>0.26473757270309317</v>
      </c>
      <c r="W27" s="151">
        <f ca="1">OFFSET(IND!Z$25,$E27,0)</f>
        <v>0.27051983414039699</v>
      </c>
      <c r="X27" s="151">
        <f ca="1">OFFSET(IND!AA$25,$E27,0)</f>
        <v>0.2763020955777008</v>
      </c>
      <c r="Y27" s="247">
        <f ca="1">OFFSET(IND!AB$25,$E27,0)</f>
        <v>0.28208435701500451</v>
      </c>
      <c r="Z27" s="151">
        <f ca="1">OFFSET(IND!AC$25,$E27,0)</f>
        <v>0.2870347747074804</v>
      </c>
      <c r="AA27" s="151">
        <f ca="1">OFFSET(IND!AD$25,$E27,0)</f>
        <v>0.29198519239995624</v>
      </c>
      <c r="AB27" s="151">
        <f ca="1">OFFSET(IND!AE$25,$E27,0)</f>
        <v>0.29693561009243208</v>
      </c>
      <c r="AC27" s="151">
        <f ca="1">OFFSET(IND!AF$25,$E27,0)</f>
        <v>0.30188602778490792</v>
      </c>
      <c r="AD27" s="151">
        <f ca="1">OFFSET(IND!AG$25,$E27,0)</f>
        <v>0.30683644547738381</v>
      </c>
      <c r="AE27" s="151">
        <f ca="1">OFFSET(IND!AH$25,$E27,0)</f>
        <v>0.31259113767363583</v>
      </c>
      <c r="AF27" s="151">
        <f ca="1">OFFSET(IND!AI$25,$E27,0)</f>
        <v>0.31834582986988785</v>
      </c>
      <c r="AG27" s="151">
        <f ca="1">OFFSET(IND!AJ$25,$E27,0)</f>
        <v>0.32410052206613987</v>
      </c>
      <c r="AH27" s="151">
        <f ca="1">OFFSET(IND!AK$25,$E27,0)</f>
        <v>0.32985521426239195</v>
      </c>
      <c r="AI27" s="151">
        <f ca="1">OFFSET(IND!AL$25,$E27,0)</f>
        <v>0.33560990645864397</v>
      </c>
      <c r="AJ27" s="151">
        <f ca="1">OFFSET(IND!AM$25,$E27,0)</f>
        <v>0.36069139029234026</v>
      </c>
      <c r="AK27" s="151">
        <f ca="1">OFFSET(IND!AN$25,$E27,0)</f>
        <v>0.38742549683040139</v>
      </c>
      <c r="AL27" s="151">
        <f ca="1">OFFSET(IND!AO$25,$E27,0)</f>
        <v>0.43896565008476435</v>
      </c>
      <c r="AM27" s="151">
        <f ca="1">OFFSET(IND!AP$25,$E27,0)</f>
        <v>0.49078124045652283</v>
      </c>
      <c r="AQ27" s="4"/>
    </row>
    <row r="28" spans="1:43">
      <c r="A28" s="36" t="s">
        <v>340</v>
      </c>
      <c r="B28">
        <v>4.45715479407</v>
      </c>
      <c r="E28" s="154">
        <f ca="1">MATCH(F28,IND!$D$26:$D$255,0)</f>
        <v>175</v>
      </c>
      <c r="F28" s="4" t="str">
        <f t="shared" si="0"/>
        <v>IFBO</v>
      </c>
      <c r="G28" s="151">
        <f ca="1">OFFSET(IND!J$25,$E28,0)</f>
        <v>2.6822571940841642</v>
      </c>
      <c r="H28" s="151">
        <f ca="1">OFFSET(IND!K$25,$E28,0)</f>
        <v>2.7545763216169301</v>
      </c>
      <c r="I28" s="151">
        <f ca="1">OFFSET(IND!L$25,$E28,0)</f>
        <v>2.8268954491496956</v>
      </c>
      <c r="J28" s="151">
        <f ca="1">OFFSET(IND!M$25,$E28,0)</f>
        <v>2.5119360000000004</v>
      </c>
      <c r="K28" s="151">
        <f ca="1">OFFSET(IND!N$25,$E28,0)</f>
        <v>2.5119360000000004</v>
      </c>
      <c r="L28" s="151">
        <f ca="1">OFFSET(IND!O$25,$E28,0)</f>
        <v>2.5119360000000004</v>
      </c>
      <c r="M28" s="151">
        <f ca="1">OFFSET(IND!P$25,$E28,0)</f>
        <v>2.5410690034096013</v>
      </c>
      <c r="N28" s="151">
        <f ca="1">OFFSET(IND!Q$25,$E28,0)</f>
        <v>2.5702020068192017</v>
      </c>
      <c r="O28" s="245">
        <f ca="1">OFFSET(IND!R$25,$E28,0)</f>
        <v>2.5993350102288022</v>
      </c>
      <c r="P28" s="151">
        <f ca="1">OFFSET(IND!S$25,$E28,0)</f>
        <v>2.6465756397988498</v>
      </c>
      <c r="Q28" s="151">
        <f ca="1">OFFSET(IND!T$25,$E28,0)</f>
        <v>2.6938162693688974</v>
      </c>
      <c r="R28" s="151">
        <f ca="1">OFFSET(IND!U$25,$E28,0)</f>
        <v>2.741056898938945</v>
      </c>
      <c r="S28" s="151">
        <f ca="1">OFFSET(IND!V$25,$E28,0)</f>
        <v>2.7882975285089926</v>
      </c>
      <c r="T28" s="245">
        <f ca="1">OFFSET(IND!W$25,$E28,0)</f>
        <v>2.8355381580790389</v>
      </c>
      <c r="U28" s="151">
        <f ca="1">OFFSET(IND!X$25,$E28,0)</f>
        <v>2.9002994861768414</v>
      </c>
      <c r="V28" s="151">
        <f ca="1">OFFSET(IND!Y$25,$E28,0)</f>
        <v>2.965060814274644</v>
      </c>
      <c r="W28" s="151">
        <f ca="1">OFFSET(IND!Z$25,$E28,0)</f>
        <v>3.0298221423724465</v>
      </c>
      <c r="X28" s="151">
        <f ca="1">OFFSET(IND!AA$25,$E28,0)</f>
        <v>3.0945834704702491</v>
      </c>
      <c r="Y28" s="247">
        <f ca="1">OFFSET(IND!AB$25,$E28,0)</f>
        <v>3.1593447985680507</v>
      </c>
      <c r="Z28" s="151">
        <f ca="1">OFFSET(IND!AC$25,$E28,0)</f>
        <v>3.214789476723781</v>
      </c>
      <c r="AA28" s="151">
        <f ca="1">OFFSET(IND!AD$25,$E28,0)</f>
        <v>3.2702341548795104</v>
      </c>
      <c r="AB28" s="151">
        <f ca="1">OFFSET(IND!AE$25,$E28,0)</f>
        <v>3.3256788330352398</v>
      </c>
      <c r="AC28" s="151">
        <f ca="1">OFFSET(IND!AF$25,$E28,0)</f>
        <v>3.3811235111909692</v>
      </c>
      <c r="AD28" s="151">
        <f ca="1">OFFSET(IND!AG$25,$E28,0)</f>
        <v>3.4365681893466991</v>
      </c>
      <c r="AE28" s="151">
        <f ca="1">OFFSET(IND!AH$25,$E28,0)</f>
        <v>3.5010207419447217</v>
      </c>
      <c r="AF28" s="151">
        <f ca="1">OFFSET(IND!AI$25,$E28,0)</f>
        <v>3.5654732945427443</v>
      </c>
      <c r="AG28" s="151">
        <f ca="1">OFFSET(IND!AJ$25,$E28,0)</f>
        <v>3.6299258471407669</v>
      </c>
      <c r="AH28" s="151">
        <f ca="1">OFFSET(IND!AK$25,$E28,0)</f>
        <v>3.69437839973879</v>
      </c>
      <c r="AI28" s="151">
        <f ca="1">OFFSET(IND!AL$25,$E28,0)</f>
        <v>3.7588309523368126</v>
      </c>
      <c r="AJ28" s="151">
        <f ca="1">OFFSET(IND!AM$25,$E28,0)</f>
        <v>4.0397435712742116</v>
      </c>
      <c r="AK28" s="151">
        <f ca="1">OFFSET(IND!AN$25,$E28,0)</f>
        <v>4.3391655645004956</v>
      </c>
      <c r="AL28" s="151">
        <f ca="1">OFFSET(IND!AO$25,$E28,0)</f>
        <v>4.9164152809493604</v>
      </c>
      <c r="AM28" s="151">
        <f ca="1">OFFSET(IND!AP$25,$E28,0)</f>
        <v>5.496749893113055</v>
      </c>
      <c r="AQ28" s="4"/>
    </row>
    <row r="29" spans="1:43">
      <c r="A29" s="36" t="s">
        <v>341</v>
      </c>
      <c r="B29">
        <v>5.9428730587610001</v>
      </c>
      <c r="E29" s="154">
        <f ca="1">MATCH(F29,IND!$D$26:$D$255,0)</f>
        <v>173</v>
      </c>
      <c r="F29" s="4" t="str">
        <f t="shared" si="0"/>
        <v>IFBP</v>
      </c>
      <c r="G29" s="151">
        <f ca="1">OFFSET(IND!J$25,$E29,0)</f>
        <v>3.576342925445553</v>
      </c>
      <c r="H29" s="151">
        <f ca="1">OFFSET(IND!K$25,$E29,0)</f>
        <v>3.6727684288225739</v>
      </c>
      <c r="I29" s="151">
        <f ca="1">OFFSET(IND!L$25,$E29,0)</f>
        <v>3.7691939321995944</v>
      </c>
      <c r="J29" s="151">
        <f ca="1">OFFSET(IND!M$25,$E29,0)</f>
        <v>3.3492480000000002</v>
      </c>
      <c r="K29" s="151">
        <f ca="1">OFFSET(IND!N$25,$E29,0)</f>
        <v>3.3492480000000002</v>
      </c>
      <c r="L29" s="151">
        <f ca="1">OFFSET(IND!O$25,$E29,0)</f>
        <v>3.3492480000000002</v>
      </c>
      <c r="M29" s="151">
        <f ca="1">OFFSET(IND!P$25,$E29,0)</f>
        <v>3.3880920045461349</v>
      </c>
      <c r="N29" s="151">
        <f ca="1">OFFSET(IND!Q$25,$E29,0)</f>
        <v>3.4269360090922691</v>
      </c>
      <c r="O29" s="245">
        <f ca="1">OFFSET(IND!R$25,$E29,0)</f>
        <v>3.4657800136384034</v>
      </c>
      <c r="P29" s="151">
        <f ca="1">OFFSET(IND!S$25,$E29,0)</f>
        <v>3.5287675197318</v>
      </c>
      <c r="Q29" s="151">
        <f ca="1">OFFSET(IND!T$25,$E29,0)</f>
        <v>3.5917550258251967</v>
      </c>
      <c r="R29" s="151">
        <f ca="1">OFFSET(IND!U$25,$E29,0)</f>
        <v>3.6547425319185933</v>
      </c>
      <c r="S29" s="151">
        <f ca="1">OFFSET(IND!V$25,$E29,0)</f>
        <v>3.71773003801199</v>
      </c>
      <c r="T29" s="245">
        <f ca="1">OFFSET(IND!W$25,$E29,0)</f>
        <v>3.7807175441053853</v>
      </c>
      <c r="U29" s="151">
        <f ca="1">OFFSET(IND!X$25,$E29,0)</f>
        <v>3.8670659815691222</v>
      </c>
      <c r="V29" s="151">
        <f ca="1">OFFSET(IND!Y$25,$E29,0)</f>
        <v>3.9534144190328586</v>
      </c>
      <c r="W29" s="151">
        <f ca="1">OFFSET(IND!Z$25,$E29,0)</f>
        <v>4.0397628564965959</v>
      </c>
      <c r="X29" s="151">
        <f ca="1">OFFSET(IND!AA$25,$E29,0)</f>
        <v>4.1261112939603324</v>
      </c>
      <c r="Y29" s="247">
        <f ca="1">OFFSET(IND!AB$25,$E29,0)</f>
        <v>4.2124597314240679</v>
      </c>
      <c r="Z29" s="151">
        <f ca="1">OFFSET(IND!AC$25,$E29,0)</f>
        <v>4.2863859689650416</v>
      </c>
      <c r="AA29" s="151">
        <f ca="1">OFFSET(IND!AD$25,$E29,0)</f>
        <v>4.3603122065060145</v>
      </c>
      <c r="AB29" s="151">
        <f ca="1">OFFSET(IND!AE$25,$E29,0)</f>
        <v>4.4342384440469873</v>
      </c>
      <c r="AC29" s="151">
        <f ca="1">OFFSET(IND!AF$25,$E29,0)</f>
        <v>4.5081646815879601</v>
      </c>
      <c r="AD29" s="151">
        <f ca="1">OFFSET(IND!AG$25,$E29,0)</f>
        <v>4.582090919128933</v>
      </c>
      <c r="AE29" s="151">
        <f ca="1">OFFSET(IND!AH$25,$E29,0)</f>
        <v>4.6680276559262959</v>
      </c>
      <c r="AF29" s="151">
        <f ca="1">OFFSET(IND!AI$25,$E29,0)</f>
        <v>4.7539643927236597</v>
      </c>
      <c r="AG29" s="151">
        <f ca="1">OFFSET(IND!AJ$25,$E29,0)</f>
        <v>4.8399011295210235</v>
      </c>
      <c r="AH29" s="151">
        <f ca="1">OFFSET(IND!AK$25,$E29,0)</f>
        <v>4.9258378663183873</v>
      </c>
      <c r="AI29" s="151">
        <f ca="1">OFFSET(IND!AL$25,$E29,0)</f>
        <v>5.0117746031157511</v>
      </c>
      <c r="AJ29" s="151">
        <f ca="1">OFFSET(IND!AM$25,$E29,0)</f>
        <v>5.3863247616989494</v>
      </c>
      <c r="AK29" s="151">
        <f ca="1">OFFSET(IND!AN$25,$E29,0)</f>
        <v>5.785554086000662</v>
      </c>
      <c r="AL29" s="151">
        <f ca="1">OFFSET(IND!AO$25,$E29,0)</f>
        <v>6.5552203745991484</v>
      </c>
      <c r="AM29" s="151">
        <f ca="1">OFFSET(IND!AP$25,$E29,0)</f>
        <v>7.3289998574840753</v>
      </c>
      <c r="AQ29" s="4"/>
    </row>
    <row r="30" spans="1:43">
      <c r="A30" s="36" t="s">
        <v>342</v>
      </c>
      <c r="B30">
        <v>28.205650466129999</v>
      </c>
      <c r="E30" s="154">
        <f ca="1">MATCH(F30,IND!$D$26:$D$255,0)</f>
        <v>178</v>
      </c>
      <c r="F30" s="4" t="str">
        <f t="shared" si="0"/>
        <v>IFBS</v>
      </c>
      <c r="G30" s="151">
        <f ca="1">OFFSET(IND!J$25,$E30,0)</f>
        <v>20.421862032418336</v>
      </c>
      <c r="H30" s="151">
        <f ca="1">OFFSET(IND!K$25,$E30,0)</f>
        <v>20.972477106929592</v>
      </c>
      <c r="I30" s="151">
        <f ca="1">OFFSET(IND!L$25,$E30,0)</f>
        <v>21.523092181440845</v>
      </c>
      <c r="J30" s="151">
        <f ca="1">OFFSET(IND!M$25,$E30,0)</f>
        <v>6.8922304000000008</v>
      </c>
      <c r="K30" s="151">
        <f ca="1">OFFSET(IND!N$25,$E30,0)</f>
        <v>6.8922304000000008</v>
      </c>
      <c r="L30" s="151">
        <f ca="1">OFFSET(IND!O$25,$E30,0)</f>
        <v>6.8922304000000008</v>
      </c>
      <c r="M30" s="151">
        <f ca="1">OFFSET(IND!P$25,$E30,0)</f>
        <v>6.9721653074749348</v>
      </c>
      <c r="N30" s="151">
        <f ca="1">OFFSET(IND!Q$25,$E30,0)</f>
        <v>7.0521002149498679</v>
      </c>
      <c r="O30" s="245">
        <f ca="1">OFFSET(IND!R$25,$E30,0)</f>
        <v>7.1320351224248011</v>
      </c>
      <c r="P30" s="151">
        <f ca="1">OFFSET(IND!S$25,$E30,0)</f>
        <v>7.2616535932926176</v>
      </c>
      <c r="Q30" s="151">
        <f ca="1">OFFSET(IND!T$25,$E30,0)</f>
        <v>7.391272064160435</v>
      </c>
      <c r="R30" s="151">
        <f ca="1">OFFSET(IND!U$25,$E30,0)</f>
        <v>7.5208905350282516</v>
      </c>
      <c r="S30" s="151">
        <f ca="1">OFFSET(IND!V$25,$E30,0)</f>
        <v>7.6505090058960681</v>
      </c>
      <c r="T30" s="245">
        <f ca="1">OFFSET(IND!W$25,$E30,0)</f>
        <v>7.7801274767638819</v>
      </c>
      <c r="U30" s="151">
        <f ca="1">OFFSET(IND!X$25,$E30,0)</f>
        <v>7.9578191035649031</v>
      </c>
      <c r="V30" s="151">
        <f ca="1">OFFSET(IND!Y$25,$E30,0)</f>
        <v>8.1355107303659242</v>
      </c>
      <c r="W30" s="151">
        <f ca="1">OFFSET(IND!Z$25,$E30,0)</f>
        <v>8.3132023571669453</v>
      </c>
      <c r="X30" s="151">
        <f ca="1">OFFSET(IND!AA$25,$E30,0)</f>
        <v>8.4908939839679665</v>
      </c>
      <c r="Y30" s="247">
        <f ca="1">OFFSET(IND!AB$25,$E30,0)</f>
        <v>8.6685856107689858</v>
      </c>
      <c r="Z30" s="151">
        <f ca="1">OFFSET(IND!AC$25,$E30,0)</f>
        <v>8.8207142861425378</v>
      </c>
      <c r="AA30" s="151">
        <f ca="1">OFFSET(IND!AD$25,$E30,0)</f>
        <v>8.9728429615160881</v>
      </c>
      <c r="AB30" s="151">
        <f ca="1">OFFSET(IND!AE$25,$E30,0)</f>
        <v>9.1249716368896383</v>
      </c>
      <c r="AC30" s="151">
        <f ca="1">OFFSET(IND!AF$25,$E30,0)</f>
        <v>9.2771003122631885</v>
      </c>
      <c r="AD30" s="151">
        <f ca="1">OFFSET(IND!AG$25,$E30,0)</f>
        <v>9.4292289876367406</v>
      </c>
      <c r="AE30" s="151">
        <f ca="1">OFFSET(IND!AH$25,$E30,0)</f>
        <v>9.6060733986303681</v>
      </c>
      <c r="AF30" s="151">
        <f ca="1">OFFSET(IND!AI$25,$E30,0)</f>
        <v>9.7829178096239957</v>
      </c>
      <c r="AG30" s="151">
        <f ca="1">OFFSET(IND!AJ$25,$E30,0)</f>
        <v>9.9597622206176233</v>
      </c>
      <c r="AH30" s="151">
        <f ca="1">OFFSET(IND!AK$25,$E30,0)</f>
        <v>10.136606631611253</v>
      </c>
      <c r="AI30" s="151">
        <f ca="1">OFFSET(IND!AL$25,$E30,0)</f>
        <v>10.31345104260488</v>
      </c>
      <c r="AJ30" s="151">
        <f ca="1">OFFSET(IND!AM$25,$E30,0)</f>
        <v>11.084216894913201</v>
      </c>
      <c r="AK30" s="151">
        <f ca="1">OFFSET(IND!AN$25,$E30,0)</f>
        <v>11.905768623994989</v>
      </c>
      <c r="AL30" s="151">
        <f ca="1">OFFSET(IND!AO$25,$E30,0)</f>
        <v>13.489621892589511</v>
      </c>
      <c r="AM30" s="151">
        <f ca="1">OFFSET(IND!AP$25,$E30,0)</f>
        <v>15.081939473979654</v>
      </c>
      <c r="AQ30" s="4"/>
    </row>
    <row r="31" spans="1:43">
      <c r="A31" s="36" t="s">
        <v>343</v>
      </c>
      <c r="B31">
        <v>1.0975498905550001</v>
      </c>
      <c r="E31" s="154">
        <f ca="1">MATCH(F31,IND!$D$26:$D$255,0)</f>
        <v>47</v>
      </c>
      <c r="F31" s="4" t="str">
        <f t="shared" si="0"/>
        <v>IMIA</v>
      </c>
      <c r="G31" s="151">
        <f ca="1">OFFSET(IND!J$25,$E31,0)</f>
        <v>0.99318058118269725</v>
      </c>
      <c r="H31" s="151">
        <f ca="1">OFFSET(IND!K$25,$E31,0)</f>
        <v>1.0088645797424156</v>
      </c>
      <c r="I31" s="151">
        <f ca="1">OFFSET(IND!L$25,$E31,0)</f>
        <v>1.0246197764437415</v>
      </c>
      <c r="J31" s="151">
        <f ca="1">OFFSET(IND!M$25,$E31,0)</f>
        <v>1.0228235984706235</v>
      </c>
      <c r="K31" s="151">
        <f ca="1">OFFSET(IND!N$25,$E31,0)</f>
        <v>1.0228235984706235</v>
      </c>
      <c r="L31" s="151">
        <f ca="1">OFFSET(IND!O$25,$E31,0)</f>
        <v>1.0228235984706235</v>
      </c>
      <c r="M31" s="151">
        <f ca="1">OFFSET(IND!P$25,$E31,0)</f>
        <v>1.0258445831755101</v>
      </c>
      <c r="N31" s="151">
        <f ca="1">OFFSET(IND!Q$25,$E31,0)</f>
        <v>1.028866863732794</v>
      </c>
      <c r="O31" s="245">
        <f ca="1">OFFSET(IND!R$25,$E31,0)</f>
        <v>1.0318904401424758</v>
      </c>
      <c r="P31" s="151">
        <f ca="1">OFFSET(IND!S$25,$E31,0)</f>
        <v>1.0484111172315607</v>
      </c>
      <c r="Q31" s="151">
        <f ca="1">OFFSET(IND!T$25,$E31,0)</f>
        <v>1.0650387660527394</v>
      </c>
      <c r="R31" s="151">
        <f ca="1">OFFSET(IND!U$25,$E31,0)</f>
        <v>1.0817733866060122</v>
      </c>
      <c r="S31" s="151">
        <f ca="1">OFFSET(IND!V$25,$E31,0)</f>
        <v>1.0986149788913793</v>
      </c>
      <c r="T31" s="245">
        <f ca="1">OFFSET(IND!W$25,$E31,0)</f>
        <v>1.1155635429088406</v>
      </c>
      <c r="U31" s="151">
        <f ca="1">OFFSET(IND!X$25,$E31,0)</f>
        <v>1.1427967030842137</v>
      </c>
      <c r="V31" s="151">
        <f ca="1">OFFSET(IND!Y$25,$E31,0)</f>
        <v>1.170226780213399</v>
      </c>
      <c r="W31" s="151">
        <f ca="1">OFFSET(IND!Z$25,$E31,0)</f>
        <v>1.1978537742963964</v>
      </c>
      <c r="X31" s="151">
        <f ca="1">OFFSET(IND!AA$25,$E31,0)</f>
        <v>1.2256776853332065</v>
      </c>
      <c r="Y31" s="247">
        <f ca="1">OFFSET(IND!AB$25,$E31,0)</f>
        <v>1.2536985133238285</v>
      </c>
      <c r="Z31" s="151">
        <f ca="1">OFFSET(IND!AC$25,$E31,0)</f>
        <v>1.2795081171586087</v>
      </c>
      <c r="AA31" s="151">
        <f ca="1">OFFSET(IND!AD$25,$E31,0)</f>
        <v>1.3053177209933891</v>
      </c>
      <c r="AB31" s="151">
        <f ca="1">OFFSET(IND!AE$25,$E31,0)</f>
        <v>1.3311273248281692</v>
      </c>
      <c r="AC31" s="151">
        <f ca="1">OFFSET(IND!AF$25,$E31,0)</f>
        <v>1.3569369286629493</v>
      </c>
      <c r="AD31" s="151">
        <f ca="1">OFFSET(IND!AG$25,$E31,0)</f>
        <v>1.3827465324977295</v>
      </c>
      <c r="AE31" s="151">
        <f ca="1">OFFSET(IND!AH$25,$E31,0)</f>
        <v>1.4136282778712319</v>
      </c>
      <c r="AF31" s="151">
        <f ca="1">OFFSET(IND!AI$25,$E31,0)</f>
        <v>1.4445100232447341</v>
      </c>
      <c r="AG31" s="151">
        <f ca="1">OFFSET(IND!AJ$25,$E31,0)</f>
        <v>1.4753917686182365</v>
      </c>
      <c r="AH31" s="151">
        <f ca="1">OFFSET(IND!AK$25,$E31,0)</f>
        <v>1.5062735139917389</v>
      </c>
      <c r="AI31" s="151">
        <f ca="1">OFFSET(IND!AL$25,$E31,0)</f>
        <v>1.5371552593652409</v>
      </c>
      <c r="AJ31" s="151">
        <f ca="1">OFFSET(IND!AM$25,$E31,0)</f>
        <v>1.6782574789938818</v>
      </c>
      <c r="AK31" s="151">
        <f ca="1">OFFSET(IND!AN$25,$E31,0)</f>
        <v>1.8136840038644226</v>
      </c>
      <c r="AL31" s="151">
        <f ca="1">OFFSET(IND!AO$25,$E31,0)</f>
        <v>2.0911586974899508</v>
      </c>
      <c r="AM31" s="151">
        <f ca="1">OFFSET(IND!AP$25,$E31,0)</f>
        <v>2.3676874419891312</v>
      </c>
      <c r="AQ31" s="4"/>
    </row>
    <row r="32" spans="1:43">
      <c r="A32" s="36" t="s">
        <v>344</v>
      </c>
      <c r="B32">
        <v>19.17682172608</v>
      </c>
      <c r="E32" s="154">
        <f ca="1">MATCH(F32,IND!$D$26:$D$255,0)</f>
        <v>49</v>
      </c>
      <c r="F32" s="4" t="str">
        <f t="shared" si="0"/>
        <v>IMIC</v>
      </c>
      <c r="G32" s="151">
        <f ca="1">OFFSET(IND!J$25,$E32,0)</f>
        <v>17.35324025908308</v>
      </c>
      <c r="H32" s="151">
        <f ca="1">OFFSET(IND!K$25,$E32,0)</f>
        <v>17.627277227169792</v>
      </c>
      <c r="I32" s="151">
        <f ca="1">OFFSET(IND!L$25,$E32,0)</f>
        <v>17.902558197083287</v>
      </c>
      <c r="J32" s="151">
        <f ca="1">OFFSET(IND!M$25,$E32,0)</f>
        <v>17.871174671764589</v>
      </c>
      <c r="K32" s="151">
        <f ca="1">OFFSET(IND!N$25,$E32,0)</f>
        <v>17.871174671764589</v>
      </c>
      <c r="L32" s="151">
        <f ca="1">OFFSET(IND!O$25,$E32,0)</f>
        <v>17.871174671764589</v>
      </c>
      <c r="M32" s="151">
        <f ca="1">OFFSET(IND!P$25,$E32,0)</f>
        <v>17.923958500200385</v>
      </c>
      <c r="N32" s="151">
        <f ca="1">OFFSET(IND!Q$25,$E32,0)</f>
        <v>17.976764970277006</v>
      </c>
      <c r="O32" s="245">
        <f ca="1">OFFSET(IND!R$25,$E32,0)</f>
        <v>18.029594081994457</v>
      </c>
      <c r="P32" s="151">
        <f ca="1">OFFSET(IND!S$25,$E32,0)</f>
        <v>18.318249825170817</v>
      </c>
      <c r="Q32" s="151">
        <f ca="1">OFFSET(IND!T$25,$E32,0)</f>
        <v>18.608774620363622</v>
      </c>
      <c r="R32" s="151">
        <f ca="1">OFFSET(IND!U$25,$E32,0)</f>
        <v>18.901168467572877</v>
      </c>
      <c r="S32" s="151">
        <f ca="1">OFFSET(IND!V$25,$E32,0)</f>
        <v>19.195431366798584</v>
      </c>
      <c r="T32" s="245">
        <f ca="1">OFFSET(IND!W$25,$E32,0)</f>
        <v>19.491563318040747</v>
      </c>
      <c r="U32" s="151">
        <f ca="1">OFFSET(IND!X$25,$E32,0)</f>
        <v>19.967391763029653</v>
      </c>
      <c r="V32" s="151">
        <f ca="1">OFFSET(IND!Y$25,$E32,0)</f>
        <v>20.446660818190903</v>
      </c>
      <c r="W32" s="151">
        <f ca="1">OFFSET(IND!Z$25,$E32,0)</f>
        <v>20.929370483524494</v>
      </c>
      <c r="X32" s="151">
        <f ca="1">OFFSET(IND!AA$25,$E32,0)</f>
        <v>21.415520759030436</v>
      </c>
      <c r="Y32" s="247">
        <f ca="1">OFFSET(IND!AB$25,$E32,0)</f>
        <v>21.905111644708711</v>
      </c>
      <c r="Z32" s="151">
        <f ca="1">OFFSET(IND!AC$25,$E32,0)</f>
        <v>22.356067155541744</v>
      </c>
      <c r="AA32" s="151">
        <f ca="1">OFFSET(IND!AD$25,$E32,0)</f>
        <v>22.807022666374781</v>
      </c>
      <c r="AB32" s="151">
        <f ca="1">OFFSET(IND!AE$25,$E32,0)</f>
        <v>23.257978177207814</v>
      </c>
      <c r="AC32" s="151">
        <f ca="1">OFFSET(IND!AF$25,$E32,0)</f>
        <v>23.708933688040847</v>
      </c>
      <c r="AD32" s="151">
        <f ca="1">OFFSET(IND!AG$25,$E32,0)</f>
        <v>24.159889198873881</v>
      </c>
      <c r="AE32" s="151">
        <f ca="1">OFFSET(IND!AH$25,$E32,0)</f>
        <v>24.699467154020823</v>
      </c>
      <c r="AF32" s="151">
        <f ca="1">OFFSET(IND!AI$25,$E32,0)</f>
        <v>25.239045109167765</v>
      </c>
      <c r="AG32" s="151">
        <f ca="1">OFFSET(IND!AJ$25,$E32,0)</f>
        <v>25.778623064314708</v>
      </c>
      <c r="AH32" s="151">
        <f ca="1">OFFSET(IND!AK$25,$E32,0)</f>
        <v>26.318201019461654</v>
      </c>
      <c r="AI32" s="151">
        <f ca="1">OFFSET(IND!AL$25,$E32,0)</f>
        <v>26.857778974608593</v>
      </c>
      <c r="AJ32" s="151">
        <f ca="1">OFFSET(IND!AM$25,$E32,0)</f>
        <v>29.323172242155064</v>
      </c>
      <c r="AK32" s="151">
        <f ca="1">OFFSET(IND!AN$25,$E32,0)</f>
        <v>31.689397547056473</v>
      </c>
      <c r="AL32" s="151">
        <f ca="1">OFFSET(IND!AO$25,$E32,0)</f>
        <v>36.537544113278464</v>
      </c>
      <c r="AM32" s="151">
        <f ca="1">OFFSET(IND!AP$25,$E32,0)</f>
        <v>41.369162685726323</v>
      </c>
      <c r="AQ32" s="4"/>
    </row>
    <row r="33" spans="1:43">
      <c r="A33" s="36" t="s">
        <v>345</v>
      </c>
      <c r="B33">
        <v>0.20646280210080001</v>
      </c>
      <c r="E33" s="154">
        <f ca="1">MATCH(F33,IND!$D$26:$D$255,0)</f>
        <v>54</v>
      </c>
      <c r="F33" s="4" t="str">
        <f t="shared" si="0"/>
        <v>IMIE</v>
      </c>
      <c r="G33" s="151">
        <f ca="1">OFFSET(IND!J$25,$E33,0)</f>
        <v>0.18682963530638833</v>
      </c>
      <c r="H33" s="151">
        <f ca="1">OFFSET(IND!K$25,$E33,0)</f>
        <v>0.18977999074685489</v>
      </c>
      <c r="I33" s="151">
        <f ca="1">OFFSET(IND!L$25,$E33,0)</f>
        <v>0.1927437394443817</v>
      </c>
      <c r="J33" s="151">
        <f ca="1">OFFSET(IND!M$25,$E33,0)</f>
        <v>0.19240585599999999</v>
      </c>
      <c r="K33" s="151">
        <f ca="1">OFFSET(IND!N$25,$E33,0)</f>
        <v>0.19240585599999999</v>
      </c>
      <c r="L33" s="151">
        <f ca="1">OFFSET(IND!O$25,$E33,0)</f>
        <v>0.19240585599999999</v>
      </c>
      <c r="M33" s="151">
        <f ca="1">OFFSET(IND!P$25,$E33,0)</f>
        <v>0.19297414084303227</v>
      </c>
      <c r="N33" s="151">
        <f ca="1">OFFSET(IND!Q$25,$E33,0)</f>
        <v>0.19354266945203766</v>
      </c>
      <c r="O33" s="245">
        <f ca="1">OFFSET(IND!R$25,$E33,0)</f>
        <v>0.19411144182701617</v>
      </c>
      <c r="P33" s="151">
        <f ca="1">OFFSET(IND!S$25,$E33,0)</f>
        <v>0.19721918691793691</v>
      </c>
      <c r="Q33" s="151">
        <f ca="1">OFFSET(IND!T$25,$E33,0)</f>
        <v>0.20034705472377359</v>
      </c>
      <c r="R33" s="151">
        <f ca="1">OFFSET(IND!U$25,$E33,0)</f>
        <v>0.20349504524452625</v>
      </c>
      <c r="S33" s="151">
        <f ca="1">OFFSET(IND!V$25,$E33,0)</f>
        <v>0.20666315848019493</v>
      </c>
      <c r="T33" s="245">
        <f ca="1">OFFSET(IND!W$25,$E33,0)</f>
        <v>0.20985139443077963</v>
      </c>
      <c r="U33" s="151">
        <f ca="1">OFFSET(IND!X$25,$E33,0)</f>
        <v>0.2149742909917923</v>
      </c>
      <c r="V33" s="151">
        <f ca="1">OFFSET(IND!Y$25,$E33,0)</f>
        <v>0.22013423008400565</v>
      </c>
      <c r="W33" s="151">
        <f ca="1">OFFSET(IND!Z$25,$E33,0)</f>
        <v>0.22533121170741971</v>
      </c>
      <c r="X33" s="151">
        <f ca="1">OFFSET(IND!AA$25,$E33,0)</f>
        <v>0.23056523586203453</v>
      </c>
      <c r="Y33" s="247">
        <f ca="1">OFFSET(IND!AB$25,$E33,0)</f>
        <v>0.23583630254784999</v>
      </c>
      <c r="Z33" s="151">
        <f ca="1">OFFSET(IND!AC$25,$E33,0)</f>
        <v>0.2406914104337817</v>
      </c>
      <c r="AA33" s="151">
        <f ca="1">OFFSET(IND!AD$25,$E33,0)</f>
        <v>0.24554651831971344</v>
      </c>
      <c r="AB33" s="151">
        <f ca="1">OFFSET(IND!AE$25,$E33,0)</f>
        <v>0.25040162620564516</v>
      </c>
      <c r="AC33" s="151">
        <f ca="1">OFFSET(IND!AF$25,$E33,0)</f>
        <v>0.25525673409157684</v>
      </c>
      <c r="AD33" s="151">
        <f ca="1">OFFSET(IND!AG$25,$E33,0)</f>
        <v>0.26011184197750853</v>
      </c>
      <c r="AE33" s="151">
        <f ca="1">OFFSET(IND!AH$25,$E33,0)</f>
        <v>0.26592108284978333</v>
      </c>
      <c r="AF33" s="151">
        <f ca="1">OFFSET(IND!AI$25,$E33,0)</f>
        <v>0.27173032372205813</v>
      </c>
      <c r="AG33" s="151">
        <f ca="1">OFFSET(IND!AJ$25,$E33,0)</f>
        <v>0.27753956459433293</v>
      </c>
      <c r="AH33" s="151">
        <f ca="1">OFFSET(IND!AK$25,$E33,0)</f>
        <v>0.28334880546660779</v>
      </c>
      <c r="AI33" s="151">
        <f ca="1">OFFSET(IND!AL$25,$E33,0)</f>
        <v>0.28915804633888254</v>
      </c>
      <c r="AJ33" s="151">
        <f ca="1">OFFSET(IND!AM$25,$E33,0)</f>
        <v>0.31570113098392105</v>
      </c>
      <c r="AK33" s="151">
        <f ca="1">OFFSET(IND!AN$25,$E33,0)</f>
        <v>0.34117654676605907</v>
      </c>
      <c r="AL33" s="151">
        <f ca="1">OFFSET(IND!AO$25,$E33,0)</f>
        <v>0.39337299200371828</v>
      </c>
      <c r="AM33" s="151">
        <f ca="1">OFFSET(IND!AP$25,$E33,0)</f>
        <v>0.44539149243089454</v>
      </c>
      <c r="AQ33" s="4"/>
    </row>
    <row r="34" spans="1:43">
      <c r="A34" s="36" t="s">
        <v>346</v>
      </c>
      <c r="B34">
        <v>6.5077475668130003</v>
      </c>
      <c r="E34" s="154">
        <f ca="1">MATCH(F34,IND!$D$26:$D$255,0)</f>
        <v>52</v>
      </c>
      <c r="F34" s="4" t="str">
        <f t="shared" si="0"/>
        <v>IMIF</v>
      </c>
      <c r="G34" s="151">
        <f ca="1">OFFSET(IND!J$25,$E34,0)</f>
        <v>5.8889063414920679</v>
      </c>
      <c r="H34" s="151">
        <f ca="1">OFFSET(IND!K$25,$E34,0)</f>
        <v>5.9819021172132283</v>
      </c>
      <c r="I34" s="151">
        <f ca="1">OFFSET(IND!L$25,$E34,0)</f>
        <v>6.0753200509946241</v>
      </c>
      <c r="J34" s="151">
        <f ca="1">OFFSET(IND!M$25,$E34,0)</f>
        <v>6.0646698992933636</v>
      </c>
      <c r="K34" s="151">
        <f ca="1">OFFSET(IND!N$25,$E34,0)</f>
        <v>6.0646698992933636</v>
      </c>
      <c r="L34" s="151">
        <f ca="1">OFFSET(IND!O$25,$E34,0)</f>
        <v>6.0646698992933636</v>
      </c>
      <c r="M34" s="151">
        <f ca="1">OFFSET(IND!P$25,$E34,0)</f>
        <v>6.0825823477677101</v>
      </c>
      <c r="N34" s="151">
        <f ca="1">OFFSET(IND!Q$25,$E34,0)</f>
        <v>6.1005024797928087</v>
      </c>
      <c r="O34" s="245">
        <f ca="1">OFFSET(IND!R$25,$E34,0)</f>
        <v>6.1184302953686602</v>
      </c>
      <c r="P34" s="151">
        <f ca="1">OFFSET(IND!S$25,$E34,0)</f>
        <v>6.2163870233987248</v>
      </c>
      <c r="Q34" s="151">
        <f ca="1">OFFSET(IND!T$25,$E34,0)</f>
        <v>6.3149780233058506</v>
      </c>
      <c r="R34" s="151">
        <f ca="1">OFFSET(IND!U$25,$E34,0)</f>
        <v>6.4142032950900392</v>
      </c>
      <c r="S34" s="151">
        <f ca="1">OFFSET(IND!V$25,$E34,0)</f>
        <v>6.5140628387512916</v>
      </c>
      <c r="T34" s="245">
        <f ca="1">OFFSET(IND!W$25,$E34,0)</f>
        <v>6.6145566542896086</v>
      </c>
      <c r="U34" s="151">
        <f ca="1">OFFSET(IND!X$25,$E34,0)</f>
        <v>6.7760313475066747</v>
      </c>
      <c r="V34" s="151">
        <f ca="1">OFFSET(IND!Y$25,$E34,0)</f>
        <v>6.9386736284917889</v>
      </c>
      <c r="W34" s="151">
        <f ca="1">OFFSET(IND!Z$25,$E34,0)</f>
        <v>7.1024834972449522</v>
      </c>
      <c r="X34" s="151">
        <f ca="1">OFFSET(IND!AA$25,$E34,0)</f>
        <v>7.2674609537661654</v>
      </c>
      <c r="Y34" s="247">
        <f ca="1">OFFSET(IND!AB$25,$E34,0)</f>
        <v>7.433605998055425</v>
      </c>
      <c r="Z34" s="151">
        <f ca="1">OFFSET(IND!AC$25,$E34,0)</f>
        <v>7.5866399402948534</v>
      </c>
      <c r="AA34" s="151">
        <f ca="1">OFFSET(IND!AD$25,$E34,0)</f>
        <v>7.7396738825342828</v>
      </c>
      <c r="AB34" s="151">
        <f ca="1">OFFSET(IND!AE$25,$E34,0)</f>
        <v>7.8927078247737112</v>
      </c>
      <c r="AC34" s="151">
        <f ca="1">OFFSET(IND!AF$25,$E34,0)</f>
        <v>8.0457417670131406</v>
      </c>
      <c r="AD34" s="151">
        <f ca="1">OFFSET(IND!AG$25,$E34,0)</f>
        <v>8.198775709252569</v>
      </c>
      <c r="AE34" s="151">
        <f ca="1">OFFSET(IND!AH$25,$E34,0)</f>
        <v>8.3818841082808699</v>
      </c>
      <c r="AF34" s="151">
        <f ca="1">OFFSET(IND!AI$25,$E34,0)</f>
        <v>8.5649925073091708</v>
      </c>
      <c r="AG34" s="151">
        <f ca="1">OFFSET(IND!AJ$25,$E34,0)</f>
        <v>8.7481009063374717</v>
      </c>
      <c r="AH34" s="151">
        <f ca="1">OFFSET(IND!AK$25,$E34,0)</f>
        <v>8.9312093053657726</v>
      </c>
      <c r="AI34" s="151">
        <f ca="1">OFFSET(IND!AL$25,$E34,0)</f>
        <v>9.1143177043940717</v>
      </c>
      <c r="AJ34" s="151">
        <f ca="1">OFFSET(IND!AM$25,$E34,0)</f>
        <v>9.9509608805828513</v>
      </c>
      <c r="AK34" s="151">
        <f ca="1">OFFSET(IND!AN$25,$E34,0)</f>
        <v>10.753950927132761</v>
      </c>
      <c r="AL34" s="151">
        <f ca="1">OFFSET(IND!AO$25,$E34,0)</f>
        <v>12.399193004811242</v>
      </c>
      <c r="AM34" s="151">
        <f ca="1">OFFSET(IND!AP$25,$E34,0)</f>
        <v>14.038826227549924</v>
      </c>
      <c r="AQ34" s="4"/>
    </row>
    <row r="35" spans="1:43">
      <c r="A35" s="36" t="s">
        <v>347</v>
      </c>
      <c r="B35">
        <v>8.5041886448849997</v>
      </c>
      <c r="E35" s="154">
        <f ca="1">MATCH(F35,IND!$D$26:$D$255,0)</f>
        <v>50</v>
      </c>
      <c r="F35" s="4" t="str">
        <f t="shared" si="0"/>
        <v>IMIH</v>
      </c>
      <c r="G35" s="151">
        <f ca="1">OFFSET(IND!J$25,$E35,0)</f>
        <v>7.6954998524370488</v>
      </c>
      <c r="H35" s="151">
        <f ca="1">OFFSET(IND!K$25,$E35,0)</f>
        <v>7.8170247904883032</v>
      </c>
      <c r="I35" s="151">
        <f ca="1">OFFSET(IND!L$25,$E35,0)</f>
        <v>7.9391013958784233</v>
      </c>
      <c r="J35" s="151">
        <f ca="1">OFFSET(IND!M$25,$E35,0)</f>
        <v>7.9251840000000016</v>
      </c>
      <c r="K35" s="151">
        <f ca="1">OFFSET(IND!N$25,$E35,0)</f>
        <v>7.9251840000000016</v>
      </c>
      <c r="L35" s="151">
        <f ca="1">OFFSET(IND!O$25,$E35,0)</f>
        <v>7.9251840000000016</v>
      </c>
      <c r="M35" s="151">
        <f ca="1">OFFSET(IND!P$25,$E35,0)</f>
        <v>7.9485916136718116</v>
      </c>
      <c r="N35" s="151">
        <f ca="1">OFFSET(IND!Q$25,$E35,0)</f>
        <v>7.9720092680473194</v>
      </c>
      <c r="O35" s="245">
        <f ca="1">OFFSET(IND!R$25,$E35,0)</f>
        <v>7.9954369631265259</v>
      </c>
      <c r="P35" s="151">
        <f ca="1">OFFSET(IND!S$25,$E35,0)</f>
        <v>8.1234447700752064</v>
      </c>
      <c r="Q35" s="151">
        <f ca="1">OFFSET(IND!T$25,$E35,0)</f>
        <v>8.2522814302698517</v>
      </c>
      <c r="R35" s="151">
        <f ca="1">OFFSET(IND!U$25,$E35,0)</f>
        <v>8.3819469437104654</v>
      </c>
      <c r="S35" s="151">
        <f ca="1">OFFSET(IND!V$25,$E35,0)</f>
        <v>8.5124413103970475</v>
      </c>
      <c r="T35" s="245">
        <f ca="1">OFFSET(IND!W$25,$E35,0)</f>
        <v>8.643764530329598</v>
      </c>
      <c r="U35" s="151">
        <f ca="1">OFFSET(IND!X$25,$E35,0)</f>
        <v>8.8547762879914469</v>
      </c>
      <c r="V35" s="151">
        <f ca="1">OFFSET(IND!Y$25,$E35,0)</f>
        <v>9.067313824970487</v>
      </c>
      <c r="W35" s="151">
        <f ca="1">OFFSET(IND!Z$25,$E35,0)</f>
        <v>9.2813771412667183</v>
      </c>
      <c r="X35" s="151">
        <f ca="1">OFFSET(IND!AA$25,$E35,0)</f>
        <v>9.4969662368801426</v>
      </c>
      <c r="Y35" s="247">
        <f ca="1">OFFSET(IND!AB$25,$E35,0)</f>
        <v>9.7140811118107564</v>
      </c>
      <c r="Z35" s="151">
        <f ca="1">OFFSET(IND!AC$25,$E35,0)</f>
        <v>9.914062672329683</v>
      </c>
      <c r="AA35" s="151">
        <f ca="1">OFFSET(IND!AD$25,$E35,0)</f>
        <v>10.11404423284861</v>
      </c>
      <c r="AB35" s="151">
        <f ca="1">OFFSET(IND!AE$25,$E35,0)</f>
        <v>10.314025793367534</v>
      </c>
      <c r="AC35" s="151">
        <f ca="1">OFFSET(IND!AF$25,$E35,0)</f>
        <v>10.514007353886461</v>
      </c>
      <c r="AD35" s="151">
        <f ca="1">OFFSET(IND!AG$25,$E35,0)</f>
        <v>10.713988914405386</v>
      </c>
      <c r="AE35" s="151">
        <f ca="1">OFFSET(IND!AH$25,$E35,0)</f>
        <v>10.953271147130664</v>
      </c>
      <c r="AF35" s="151">
        <f ca="1">OFFSET(IND!AI$25,$E35,0)</f>
        <v>11.192553379855942</v>
      </c>
      <c r="AG35" s="151">
        <f ca="1">OFFSET(IND!AJ$25,$E35,0)</f>
        <v>11.431835612581221</v>
      </c>
      <c r="AH35" s="151">
        <f ca="1">OFFSET(IND!AK$25,$E35,0)</f>
        <v>11.671117845306501</v>
      </c>
      <c r="AI35" s="151">
        <f ca="1">OFFSET(IND!AL$25,$E35,0)</f>
        <v>11.910400078031778</v>
      </c>
      <c r="AJ35" s="151">
        <f ca="1">OFFSET(IND!AM$25,$E35,0)</f>
        <v>13.00370791238119</v>
      </c>
      <c r="AK35" s="151">
        <f ca="1">OFFSET(IND!AN$25,$E35,0)</f>
        <v>14.053038539563076</v>
      </c>
      <c r="AL35" s="151">
        <f ca="1">OFFSET(IND!AO$25,$E35,0)</f>
        <v>16.203006535622265</v>
      </c>
      <c r="AM35" s="151">
        <f ca="1">OFFSET(IND!AP$25,$E35,0)</f>
        <v>18.345644997153553</v>
      </c>
      <c r="AQ35" s="4"/>
    </row>
    <row r="36" spans="1:43">
      <c r="A36" s="36" t="s">
        <v>348</v>
      </c>
      <c r="B36">
        <v>2.3622746235790002</v>
      </c>
      <c r="E36" s="154">
        <f ca="1">MATCH(F36,IND!$D$26:$D$255,0)</f>
        <v>46</v>
      </c>
      <c r="F36" s="4" t="str">
        <f t="shared" si="0"/>
        <v>IMIK</v>
      </c>
      <c r="G36" s="151">
        <f ca="1">OFFSET(IND!J$25,$E36,0)</f>
        <v>2.1376388478991801</v>
      </c>
      <c r="H36" s="151">
        <f ca="1">OFFSET(IND!K$25,$E36,0)</f>
        <v>2.1713957751356396</v>
      </c>
      <c r="I36" s="151">
        <f ca="1">OFFSET(IND!L$25,$E36,0)</f>
        <v>2.2053059432995621</v>
      </c>
      <c r="J36" s="151">
        <f ca="1">OFFSET(IND!M$25,$E36,0)</f>
        <v>2.2014400000000003</v>
      </c>
      <c r="K36" s="151">
        <f ca="1">OFFSET(IND!N$25,$E36,0)</f>
        <v>2.2014400000000003</v>
      </c>
      <c r="L36" s="151">
        <f ca="1">OFFSET(IND!O$25,$E36,0)</f>
        <v>2.2014400000000003</v>
      </c>
      <c r="M36" s="151">
        <f ca="1">OFFSET(IND!P$25,$E36,0)</f>
        <v>2.2079421149088363</v>
      </c>
      <c r="N36" s="151">
        <f ca="1">OFFSET(IND!Q$25,$E36,0)</f>
        <v>2.2144470189020331</v>
      </c>
      <c r="O36" s="245">
        <f ca="1">OFFSET(IND!R$25,$E36,0)</f>
        <v>2.2209547119795903</v>
      </c>
      <c r="P36" s="151">
        <f ca="1">OFFSET(IND!S$25,$E36,0)</f>
        <v>2.2565124361320015</v>
      </c>
      <c r="Q36" s="151">
        <f ca="1">OFFSET(IND!T$25,$E36,0)</f>
        <v>2.2923003972971809</v>
      </c>
      <c r="R36" s="151">
        <f ca="1">OFFSET(IND!U$25,$E36,0)</f>
        <v>2.3283185954751291</v>
      </c>
      <c r="S36" s="151">
        <f ca="1">OFFSET(IND!V$25,$E36,0)</f>
        <v>2.3645670306658459</v>
      </c>
      <c r="T36" s="245">
        <f ca="1">OFFSET(IND!W$25,$E36,0)</f>
        <v>2.4010457028693319</v>
      </c>
      <c r="U36" s="151">
        <f ca="1">OFFSET(IND!X$25,$E36,0)</f>
        <v>2.4596600799976236</v>
      </c>
      <c r="V36" s="151">
        <f ca="1">OFFSET(IND!Y$25,$E36,0)</f>
        <v>2.5186982847140236</v>
      </c>
      <c r="W36" s="151">
        <f ca="1">OFFSET(IND!Z$25,$E36,0)</f>
        <v>2.5781603170185323</v>
      </c>
      <c r="X36" s="151">
        <f ca="1">OFFSET(IND!AA$25,$E36,0)</f>
        <v>2.6380461769111503</v>
      </c>
      <c r="Y36" s="247">
        <f ca="1">OFFSET(IND!AB$25,$E36,0)</f>
        <v>2.6983558643918761</v>
      </c>
      <c r="Z36" s="151">
        <f ca="1">OFFSET(IND!AC$25,$E36,0)</f>
        <v>2.7539062978693556</v>
      </c>
      <c r="AA36" s="151">
        <f ca="1">OFFSET(IND!AD$25,$E36,0)</f>
        <v>2.8094567313468355</v>
      </c>
      <c r="AB36" s="151">
        <f ca="1">OFFSET(IND!AE$25,$E36,0)</f>
        <v>2.8650071648243149</v>
      </c>
      <c r="AC36" s="151">
        <f ca="1">OFFSET(IND!AF$25,$E36,0)</f>
        <v>2.9205575983017944</v>
      </c>
      <c r="AD36" s="151">
        <f ca="1">OFFSET(IND!AG$25,$E36,0)</f>
        <v>2.9761080317792734</v>
      </c>
      <c r="AE36" s="151">
        <f ca="1">OFFSET(IND!AH$25,$E36,0)</f>
        <v>3.0425753186474065</v>
      </c>
      <c r="AF36" s="151">
        <f ca="1">OFFSET(IND!AI$25,$E36,0)</f>
        <v>3.1090426055155391</v>
      </c>
      <c r="AG36" s="151">
        <f ca="1">OFFSET(IND!AJ$25,$E36,0)</f>
        <v>3.1755098923836722</v>
      </c>
      <c r="AH36" s="151">
        <f ca="1">OFFSET(IND!AK$25,$E36,0)</f>
        <v>3.2419771792518053</v>
      </c>
      <c r="AI36" s="151">
        <f ca="1">OFFSET(IND!AL$25,$E36,0)</f>
        <v>3.3084444661199375</v>
      </c>
      <c r="AJ36" s="151">
        <f ca="1">OFFSET(IND!AM$25,$E36,0)</f>
        <v>3.6121410867725521</v>
      </c>
      <c r="AK36" s="151">
        <f ca="1">OFFSET(IND!AN$25,$E36,0)</f>
        <v>3.9036218165452983</v>
      </c>
      <c r="AL36" s="151">
        <f ca="1">OFFSET(IND!AO$25,$E36,0)</f>
        <v>4.5008351487839624</v>
      </c>
      <c r="AM36" s="151">
        <f ca="1">OFFSET(IND!AP$25,$E36,0)</f>
        <v>5.0960124992093201</v>
      </c>
      <c r="AQ36" s="4"/>
    </row>
    <row r="37" spans="1:43">
      <c r="A37" s="36" t="s">
        <v>349</v>
      </c>
      <c r="B37">
        <v>1.594535370916</v>
      </c>
      <c r="E37" s="154">
        <f ca="1">MATCH(F37,IND!$D$26:$D$255,0)</f>
        <v>48</v>
      </c>
      <c r="F37" s="4" t="str">
        <f t="shared" si="0"/>
        <v>IMIL</v>
      </c>
      <c r="G37" s="151">
        <f ca="1">OFFSET(IND!J$25,$E37,0)</f>
        <v>1.4429062223319464</v>
      </c>
      <c r="H37" s="151">
        <f ca="1">OFFSET(IND!K$25,$E37,0)</f>
        <v>1.4656921482165566</v>
      </c>
      <c r="I37" s="151">
        <f ca="1">OFFSET(IND!L$25,$E37,0)</f>
        <v>1.4885815117272041</v>
      </c>
      <c r="J37" s="151">
        <f ca="1">OFFSET(IND!M$25,$E37,0)</f>
        <v>1.4859720000000001</v>
      </c>
      <c r="K37" s="151">
        <f ca="1">OFFSET(IND!N$25,$E37,0)</f>
        <v>1.4859720000000001</v>
      </c>
      <c r="L37" s="151">
        <f ca="1">OFFSET(IND!O$25,$E37,0)</f>
        <v>1.4859720000000001</v>
      </c>
      <c r="M37" s="151">
        <f ca="1">OFFSET(IND!P$25,$E37,0)</f>
        <v>1.4903609275634646</v>
      </c>
      <c r="N37" s="151">
        <f ca="1">OFFSET(IND!Q$25,$E37,0)</f>
        <v>1.4947517377588724</v>
      </c>
      <c r="O37" s="245">
        <f ca="1">OFFSET(IND!R$25,$E37,0)</f>
        <v>1.4991444305862236</v>
      </c>
      <c r="P37" s="151">
        <f ca="1">OFFSET(IND!S$25,$E37,0)</f>
        <v>1.5231458943891012</v>
      </c>
      <c r="Q37" s="151">
        <f ca="1">OFFSET(IND!T$25,$E37,0)</f>
        <v>1.5473027681755973</v>
      </c>
      <c r="R37" s="151">
        <f ca="1">OFFSET(IND!U$25,$E37,0)</f>
        <v>1.5716150519457122</v>
      </c>
      <c r="S37" s="151">
        <f ca="1">OFFSET(IND!V$25,$E37,0)</f>
        <v>1.5960827456994462</v>
      </c>
      <c r="T37" s="245">
        <f ca="1">OFFSET(IND!W$25,$E37,0)</f>
        <v>1.6207058494367994</v>
      </c>
      <c r="U37" s="151">
        <f ca="1">OFFSET(IND!X$25,$E37,0)</f>
        <v>1.6602705539983962</v>
      </c>
      <c r="V37" s="151">
        <f ca="1">OFFSET(IND!Y$25,$E37,0)</f>
        <v>1.7001213421819661</v>
      </c>
      <c r="W37" s="151">
        <f ca="1">OFFSET(IND!Z$25,$E37,0)</f>
        <v>1.7402582139875094</v>
      </c>
      <c r="X37" s="151">
        <f ca="1">OFFSET(IND!AA$25,$E37,0)</f>
        <v>1.7806811694150266</v>
      </c>
      <c r="Y37" s="247">
        <f ca="1">OFFSET(IND!AB$25,$E37,0)</f>
        <v>1.8213902084645166</v>
      </c>
      <c r="Z37" s="151">
        <f ca="1">OFFSET(IND!AC$25,$E37,0)</f>
        <v>1.8588867510618152</v>
      </c>
      <c r="AA37" s="151">
        <f ca="1">OFFSET(IND!AD$25,$E37,0)</f>
        <v>1.8963832936591141</v>
      </c>
      <c r="AB37" s="151">
        <f ca="1">OFFSET(IND!AE$25,$E37,0)</f>
        <v>1.9338798362564127</v>
      </c>
      <c r="AC37" s="151">
        <f ca="1">OFFSET(IND!AF$25,$E37,0)</f>
        <v>1.9713763788537113</v>
      </c>
      <c r="AD37" s="151">
        <f ca="1">OFFSET(IND!AG$25,$E37,0)</f>
        <v>2.0088729214510099</v>
      </c>
      <c r="AE37" s="151">
        <f ca="1">OFFSET(IND!AH$25,$E37,0)</f>
        <v>2.0537383400869995</v>
      </c>
      <c r="AF37" s="151">
        <f ca="1">OFFSET(IND!AI$25,$E37,0)</f>
        <v>2.0986037587229891</v>
      </c>
      <c r="AG37" s="151">
        <f ca="1">OFFSET(IND!AJ$25,$E37,0)</f>
        <v>2.1434691773589787</v>
      </c>
      <c r="AH37" s="151">
        <f ca="1">OFFSET(IND!AK$25,$E37,0)</f>
        <v>2.1883345959949687</v>
      </c>
      <c r="AI37" s="151">
        <f ca="1">OFFSET(IND!AL$25,$E37,0)</f>
        <v>2.2332000146309579</v>
      </c>
      <c r="AJ37" s="151">
        <f ca="1">OFFSET(IND!AM$25,$E37,0)</f>
        <v>2.4381952335714727</v>
      </c>
      <c r="AK37" s="151">
        <f ca="1">OFFSET(IND!AN$25,$E37,0)</f>
        <v>2.6349447261680763</v>
      </c>
      <c r="AL37" s="151">
        <f ca="1">OFFSET(IND!AO$25,$E37,0)</f>
        <v>3.0380637254291742</v>
      </c>
      <c r="AM37" s="151">
        <f ca="1">OFFSET(IND!AP$25,$E37,0)</f>
        <v>3.4398084369662905</v>
      </c>
      <c r="AQ37" s="4"/>
    </row>
    <row r="38" spans="1:43">
      <c r="A38" s="36" t="s">
        <v>350</v>
      </c>
      <c r="B38">
        <v>31.93143244434</v>
      </c>
      <c r="E38" s="154">
        <f ca="1">MATCH(F38,IND!$D$26:$D$255,0)</f>
        <v>53</v>
      </c>
      <c r="F38" s="4" t="str">
        <f t="shared" si="0"/>
        <v>IMIO</v>
      </c>
      <c r="G38" s="151">
        <f ca="1">OFFSET(IND!J$25,$E38,0)</f>
        <v>28.894976807848312</v>
      </c>
      <c r="H38" s="151">
        <f ca="1">OFFSET(IND!K$25,$E38,0)</f>
        <v>29.351277286556549</v>
      </c>
      <c r="I38" s="151">
        <f ca="1">OFFSET(IND!L$25,$E38,0)</f>
        <v>29.809649159620946</v>
      </c>
      <c r="J38" s="151">
        <f ca="1">OFFSET(IND!M$25,$E38,0)</f>
        <v>29.757392277177463</v>
      </c>
      <c r="K38" s="151">
        <f ca="1">OFFSET(IND!N$25,$E38,0)</f>
        <v>29.757392277177463</v>
      </c>
      <c r="L38" s="151">
        <f ca="1">OFFSET(IND!O$25,$E38,0)</f>
        <v>29.757392277177463</v>
      </c>
      <c r="M38" s="151">
        <f ca="1">OFFSET(IND!P$25,$E38,0)</f>
        <v>29.845282923287975</v>
      </c>
      <c r="N38" s="151">
        <f ca="1">OFFSET(IND!Q$25,$E38,0)</f>
        <v>29.93321127012047</v>
      </c>
      <c r="O38" s="245">
        <f ca="1">OFFSET(IND!R$25,$E38,0)</f>
        <v>30.021177317674955</v>
      </c>
      <c r="P38" s="151">
        <f ca="1">OFFSET(IND!S$25,$E38,0)</f>
        <v>30.501819600038758</v>
      </c>
      <c r="Q38" s="151">
        <f ca="1">OFFSET(IND!T$25,$E38,0)</f>
        <v>30.985574051303672</v>
      </c>
      <c r="R38" s="151">
        <f ca="1">OFFSET(IND!U$25,$E38,0)</f>
        <v>31.472440671469709</v>
      </c>
      <c r="S38" s="151">
        <f ca="1">OFFSET(IND!V$25,$E38,0)</f>
        <v>31.962419460536868</v>
      </c>
      <c r="T38" s="245">
        <f ca="1">OFFSET(IND!W$25,$E38,0)</f>
        <v>32.455510418505156</v>
      </c>
      <c r="U38" s="151">
        <f ca="1">OFFSET(IND!X$25,$E38,0)</f>
        <v>33.247815006996774</v>
      </c>
      <c r="V38" s="151">
        <f ca="1">OFFSET(IND!Y$25,$E38,0)</f>
        <v>34.045848574609892</v>
      </c>
      <c r="W38" s="151">
        <f ca="1">OFFSET(IND!Z$25,$E38,0)</f>
        <v>34.849611121344509</v>
      </c>
      <c r="X38" s="151">
        <f ca="1">OFFSET(IND!AA$25,$E38,0)</f>
        <v>35.65910264720064</v>
      </c>
      <c r="Y38" s="247">
        <f ca="1">OFFSET(IND!AB$25,$E38,0)</f>
        <v>36.474323152178265</v>
      </c>
      <c r="Z38" s="151">
        <f ca="1">OFFSET(IND!AC$25,$E38,0)</f>
        <v>37.225211679758672</v>
      </c>
      <c r="AA38" s="151">
        <f ca="1">OFFSET(IND!AD$25,$E38,0)</f>
        <v>37.97610020733908</v>
      </c>
      <c r="AB38" s="151">
        <f ca="1">OFFSET(IND!AE$25,$E38,0)</f>
        <v>38.72698873491948</v>
      </c>
      <c r="AC38" s="151">
        <f ca="1">OFFSET(IND!AF$25,$E38,0)</f>
        <v>39.477877262499881</v>
      </c>
      <c r="AD38" s="151">
        <f ca="1">OFFSET(IND!AG$25,$E38,0)</f>
        <v>40.228765790080281</v>
      </c>
      <c r="AE38" s="151">
        <f ca="1">OFFSET(IND!AH$25,$E38,0)</f>
        <v>41.127220042267361</v>
      </c>
      <c r="AF38" s="151">
        <f ca="1">OFFSET(IND!AI$25,$E38,0)</f>
        <v>42.025674294454433</v>
      </c>
      <c r="AG38" s="151">
        <f ca="1">OFFSET(IND!AJ$25,$E38,0)</f>
        <v>42.924128546641512</v>
      </c>
      <c r="AH38" s="151">
        <f ca="1">OFFSET(IND!AK$25,$E38,0)</f>
        <v>43.822582798828591</v>
      </c>
      <c r="AI38" s="151">
        <f ca="1">OFFSET(IND!AL$25,$E38,0)</f>
        <v>44.721037051015657</v>
      </c>
      <c r="AJ38" s="151">
        <f ca="1">OFFSET(IND!AM$25,$E38,0)</f>
        <v>48.826177083909123</v>
      </c>
      <c r="AK38" s="151">
        <f ca="1">OFFSET(IND!AN$25,$E38,0)</f>
        <v>52.766191991008817</v>
      </c>
      <c r="AL38" s="151">
        <f ca="1">OFFSET(IND!AO$25,$E38,0)</f>
        <v>60.838867785300842</v>
      </c>
      <c r="AM38" s="151">
        <f ca="1">OFFSET(IND!AP$25,$E38,0)</f>
        <v>68.884022725293974</v>
      </c>
      <c r="AQ38" s="4"/>
    </row>
    <row r="39" spans="1:43">
      <c r="A39" s="36" t="s">
        <v>351</v>
      </c>
      <c r="B39">
        <v>16.901755910559999</v>
      </c>
      <c r="E39" s="154">
        <f ca="1">MATCH(F39,IND!$D$26:$D$255,0)</f>
        <v>51</v>
      </c>
      <c r="F39" s="4" t="str">
        <f t="shared" si="0"/>
        <v>IMIP</v>
      </c>
      <c r="G39" s="151">
        <f ca="1">OFFSET(IND!J$25,$E39,0)</f>
        <v>15.294517272248457</v>
      </c>
      <c r="H39" s="151">
        <f ca="1">OFFSET(IND!K$25,$E39,0)</f>
        <v>15.53604352781004</v>
      </c>
      <c r="I39" s="151">
        <f ca="1">OFFSET(IND!L$25,$E39,0)</f>
        <v>15.778666201512694</v>
      </c>
      <c r="J39" s="151">
        <f ca="1">OFFSET(IND!M$25,$E39,0)</f>
        <v>15.751005899293361</v>
      </c>
      <c r="K39" s="151">
        <f ca="1">OFFSET(IND!N$25,$E39,0)</f>
        <v>15.751005899293361</v>
      </c>
      <c r="L39" s="151">
        <f ca="1">OFFSET(IND!O$25,$E39,0)</f>
        <v>15.751005899293361</v>
      </c>
      <c r="M39" s="151">
        <f ca="1">OFFSET(IND!P$25,$E39,0)</f>
        <v>15.797527653366586</v>
      </c>
      <c r="N39" s="151">
        <f ca="1">OFFSET(IND!Q$25,$E39,0)</f>
        <v>15.844069362961751</v>
      </c>
      <c r="O39" s="245">
        <f ca="1">OFFSET(IND!R$25,$E39,0)</f>
        <v>15.890631028078854</v>
      </c>
      <c r="P39" s="151">
        <f ca="1">OFFSET(IND!S$25,$E39,0)</f>
        <v>16.145041742379526</v>
      </c>
      <c r="Q39" s="151">
        <f ca="1">OFFSET(IND!T$25,$E39,0)</f>
        <v>16.401099771413442</v>
      </c>
      <c r="R39" s="151">
        <f ca="1">OFFSET(IND!U$25,$E39,0)</f>
        <v>16.658805115180602</v>
      </c>
      <c r="S39" s="151">
        <f ca="1">OFFSET(IND!V$25,$E39,0)</f>
        <v>16.91815777368101</v>
      </c>
      <c r="T39" s="245">
        <f ca="1">OFFSET(IND!W$25,$E39,0)</f>
        <v>17.179157746914665</v>
      </c>
      <c r="U39" s="151">
        <f ca="1">OFFSET(IND!X$25,$E39,0)</f>
        <v>17.598535699496214</v>
      </c>
      <c r="V39" s="151">
        <f ca="1">OFFSET(IND!Y$25,$E39,0)</f>
        <v>18.02094608123349</v>
      </c>
      <c r="W39" s="151">
        <f ca="1">OFFSET(IND!Z$25,$E39,0)</f>
        <v>18.446388892126489</v>
      </c>
      <c r="X39" s="151">
        <f ca="1">OFFSET(IND!AA$25,$E39,0)</f>
        <v>18.874864132175222</v>
      </c>
      <c r="Y39" s="247">
        <f ca="1">OFFSET(IND!AB$25,$E39,0)</f>
        <v>19.306371801379676</v>
      </c>
      <c r="Z39" s="151">
        <f ca="1">OFFSET(IND!AC$25,$E39,0)</f>
        <v>19.703827650920015</v>
      </c>
      <c r="AA39" s="151">
        <f ca="1">OFFSET(IND!AD$25,$E39,0)</f>
        <v>20.101283500460355</v>
      </c>
      <c r="AB39" s="151">
        <f ca="1">OFFSET(IND!AE$25,$E39,0)</f>
        <v>20.49873935000069</v>
      </c>
      <c r="AC39" s="151">
        <f ca="1">OFFSET(IND!AF$25,$E39,0)</f>
        <v>20.89619519954103</v>
      </c>
      <c r="AD39" s="151">
        <f ca="1">OFFSET(IND!AG$25,$E39,0)</f>
        <v>21.293651049081365</v>
      </c>
      <c r="AE39" s="151">
        <f ca="1">OFFSET(IND!AH$25,$E39,0)</f>
        <v>21.769215510329452</v>
      </c>
      <c r="AF39" s="151">
        <f ca="1">OFFSET(IND!AI$25,$E39,0)</f>
        <v>22.244779971577536</v>
      </c>
      <c r="AG39" s="151">
        <f ca="1">OFFSET(IND!AJ$25,$E39,0)</f>
        <v>22.720344432825623</v>
      </c>
      <c r="AH39" s="151">
        <f ca="1">OFFSET(IND!AK$25,$E39,0)</f>
        <v>23.19590889407371</v>
      </c>
      <c r="AI39" s="151">
        <f ca="1">OFFSET(IND!AL$25,$E39,0)</f>
        <v>23.67147335532179</v>
      </c>
      <c r="AJ39" s="151">
        <f ca="1">OFFSET(IND!AM$25,$E39,0)</f>
        <v>25.844381662382073</v>
      </c>
      <c r="AK39" s="151">
        <f ca="1">OFFSET(IND!AN$25,$E39,0)</f>
        <v>27.929886919932066</v>
      </c>
      <c r="AL39" s="151">
        <f ca="1">OFFSET(IND!AO$25,$E39,0)</f>
        <v>32.202867659460665</v>
      </c>
      <c r="AM39" s="151">
        <f ca="1">OFFSET(IND!AP$25,$E39,0)</f>
        <v>36.461281224070916</v>
      </c>
      <c r="AQ39" s="4"/>
    </row>
    <row r="40" spans="1:43">
      <c r="A40" s="36" t="s">
        <v>352</v>
      </c>
      <c r="B40">
        <v>28.149155918999998</v>
      </c>
      <c r="E40" s="154">
        <f ca="1">MATCH(F40,IND!$D$26:$D$255,0)</f>
        <v>63</v>
      </c>
      <c r="F40" s="4" t="str">
        <f t="shared" si="0"/>
        <v>IMIR</v>
      </c>
      <c r="G40" s="151">
        <f ca="1">OFFSET(IND!J$25,$E40,0)</f>
        <v>51.488523217763458</v>
      </c>
      <c r="H40" s="151">
        <f ca="1">OFFSET(IND!K$25,$E40,0)</f>
        <v>52.301613947978687</v>
      </c>
      <c r="I40" s="151">
        <f ca="1">OFFSET(IND!L$25,$E40,0)</f>
        <v>53.118395736231783</v>
      </c>
      <c r="J40" s="151">
        <f ca="1">OFFSET(IND!M$25,$E40,0)</f>
        <v>46.045999999999999</v>
      </c>
      <c r="K40" s="151">
        <f ca="1">OFFSET(IND!N$25,$E40,0)</f>
        <v>46.045999999999999</v>
      </c>
      <c r="L40" s="151">
        <f ca="1">OFFSET(IND!O$25,$E40,0)</f>
        <v>46.045999999999999</v>
      </c>
      <c r="M40" s="151">
        <f ca="1">OFFSET(IND!P$25,$E40,0)</f>
        <v>46.182000246698649</v>
      </c>
      <c r="N40" s="151">
        <f ca="1">OFFSET(IND!Q$25,$E40,0)</f>
        <v>46.318058830748512</v>
      </c>
      <c r="O40" s="245">
        <f ca="1">OFFSET(IND!R$25,$E40,0)</f>
        <v>46.454175752149595</v>
      </c>
      <c r="P40" s="151">
        <f ca="1">OFFSET(IND!S$25,$E40,0)</f>
        <v>47.19791210940754</v>
      </c>
      <c r="Q40" s="151">
        <f ca="1">OFFSET(IND!T$25,$E40,0)</f>
        <v>47.946464175242561</v>
      </c>
      <c r="R40" s="151">
        <f ca="1">OFFSET(IND!U$25,$E40,0)</f>
        <v>48.699831949654673</v>
      </c>
      <c r="S40" s="151">
        <f ca="1">OFFSET(IND!V$25,$E40,0)</f>
        <v>49.458015432643876</v>
      </c>
      <c r="T40" s="245">
        <f ca="1">OFFSET(IND!W$25,$E40,0)</f>
        <v>50.221014624210177</v>
      </c>
      <c r="U40" s="151">
        <f ca="1">OFFSET(IND!X$25,$E40,0)</f>
        <v>51.447011067106331</v>
      </c>
      <c r="V40" s="151">
        <f ca="1">OFFSET(IND!Y$25,$E40,0)</f>
        <v>52.681872418935747</v>
      </c>
      <c r="W40" s="151">
        <f ca="1">OFFSET(IND!Z$25,$E40,0)</f>
        <v>53.925598679698432</v>
      </c>
      <c r="X40" s="151">
        <f ca="1">OFFSET(IND!AA$25,$E40,0)</f>
        <v>55.1781898493944</v>
      </c>
      <c r="Y40" s="247">
        <f ca="1">OFFSET(IND!AB$25,$E40,0)</f>
        <v>56.439645928023616</v>
      </c>
      <c r="Z40" s="151">
        <f ca="1">OFFSET(IND!AC$25,$E40,0)</f>
        <v>57.601555977765614</v>
      </c>
      <c r="AA40" s="151">
        <f ca="1">OFFSET(IND!AD$25,$E40,0)</f>
        <v>58.763466027507619</v>
      </c>
      <c r="AB40" s="151">
        <f ca="1">OFFSET(IND!AE$25,$E40,0)</f>
        <v>59.925376077249609</v>
      </c>
      <c r="AC40" s="151">
        <f ca="1">OFFSET(IND!AF$25,$E40,0)</f>
        <v>61.0872861269916</v>
      </c>
      <c r="AD40" s="151">
        <f ca="1">OFFSET(IND!AG$25,$E40,0)</f>
        <v>62.249196176733591</v>
      </c>
      <c r="AE40" s="151">
        <f ca="1">OFFSET(IND!AH$25,$E40,0)</f>
        <v>63.639446508848046</v>
      </c>
      <c r="AF40" s="151">
        <f ca="1">OFFSET(IND!AI$25,$E40,0)</f>
        <v>65.029696840962501</v>
      </c>
      <c r="AG40" s="151">
        <f ca="1">OFFSET(IND!AJ$25,$E40,0)</f>
        <v>66.419947173076963</v>
      </c>
      <c r="AH40" s="151">
        <f ca="1">OFFSET(IND!AK$25,$E40,0)</f>
        <v>67.810197505191425</v>
      </c>
      <c r="AI40" s="151">
        <f ca="1">OFFSET(IND!AL$25,$E40,0)</f>
        <v>69.200447837305873</v>
      </c>
      <c r="AJ40" s="151">
        <f ca="1">OFFSET(IND!AM$25,$E40,0)</f>
        <v>75.552660295774103</v>
      </c>
      <c r="AK40" s="151">
        <f ca="1">OFFSET(IND!AN$25,$E40,0)</f>
        <v>81.649361401920928</v>
      </c>
      <c r="AL40" s="151">
        <f ca="1">OFFSET(IND!AO$25,$E40,0)</f>
        <v>94.140860191922712</v>
      </c>
      <c r="AM40" s="151">
        <f ca="1">OFFSET(IND!AP$25,$E40,0)</f>
        <v>106.5897737565377</v>
      </c>
      <c r="AQ40" s="4"/>
    </row>
    <row r="41" spans="1:43">
      <c r="A41" s="36" t="s">
        <v>353</v>
      </c>
      <c r="B41">
        <v>5.2585839407999997E-2</v>
      </c>
      <c r="E41" s="154">
        <f ca="1">MATCH(F41,IND!$D$26:$D$255,0)</f>
        <v>56</v>
      </c>
      <c r="F41" s="4" t="str">
        <f t="shared" si="0"/>
        <v>IMIS</v>
      </c>
      <c r="G41" s="151">
        <f ca="1">OFFSET(IND!J$25,$E41,0)</f>
        <v>20.275122960000004</v>
      </c>
      <c r="H41" s="151">
        <f ca="1">OFFSET(IND!K$25,$E41,0)</f>
        <v>20.595301390113971</v>
      </c>
      <c r="I41" s="151">
        <f ca="1">OFFSET(IND!L$25,$E41,0)</f>
        <v>20.916933283075448</v>
      </c>
      <c r="J41" s="151">
        <f ca="1">OFFSET(IND!M$25,$E41,0)</f>
        <v>0.90805719120000006</v>
      </c>
      <c r="K41" s="151">
        <f ca="1">OFFSET(IND!N$25,$E41,0)</f>
        <v>0.90805719120000006</v>
      </c>
      <c r="L41" s="151">
        <f ca="1">OFFSET(IND!O$25,$E41,0)</f>
        <v>0.90805719120000006</v>
      </c>
      <c r="M41" s="151">
        <f ca="1">OFFSET(IND!P$25,$E41,0)</f>
        <v>0.91073920488239768</v>
      </c>
      <c r="N41" s="151">
        <f ca="1">OFFSET(IND!Q$25,$E41,0)</f>
        <v>0.91342236901545959</v>
      </c>
      <c r="O41" s="245">
        <f ca="1">OFFSET(IND!R$25,$E41,0)</f>
        <v>0.9161066835991859</v>
      </c>
      <c r="P41" s="151">
        <f ca="1">OFFSET(IND!S$25,$E41,0)</f>
        <v>0.93077365027522652</v>
      </c>
      <c r="Q41" s="151">
        <f ca="1">OFFSET(IND!T$25,$E41,0)</f>
        <v>0.94553558586939557</v>
      </c>
      <c r="R41" s="151">
        <f ca="1">OFFSET(IND!U$25,$E41,0)</f>
        <v>0.96039249038169316</v>
      </c>
      <c r="S41" s="151">
        <f ca="1">OFFSET(IND!V$25,$E41,0)</f>
        <v>0.97534436381211953</v>
      </c>
      <c r="T41" s="245">
        <f ca="1">OFFSET(IND!W$25,$E41,0)</f>
        <v>0.99039120616067466</v>
      </c>
      <c r="U41" s="151">
        <f ca="1">OFFSET(IND!X$25,$E41,0)</f>
        <v>1.0145686566744538</v>
      </c>
      <c r="V41" s="151">
        <f ca="1">OFFSET(IND!Y$25,$E41,0)</f>
        <v>1.0389209289817911</v>
      </c>
      <c r="W41" s="151">
        <f ca="1">OFFSET(IND!Z$25,$E41,0)</f>
        <v>1.0634480230826868</v>
      </c>
      <c r="X41" s="151">
        <f ca="1">OFFSET(IND!AA$25,$E41,0)</f>
        <v>1.0881499389771412</v>
      </c>
      <c r="Y41" s="247">
        <f ca="1">OFFSET(IND!AB$25,$E41,0)</f>
        <v>1.1130266766651535</v>
      </c>
      <c r="Z41" s="151">
        <f ca="1">OFFSET(IND!AC$25,$E41,0)</f>
        <v>1.1359403016531171</v>
      </c>
      <c r="AA41" s="151">
        <f ca="1">OFFSET(IND!AD$25,$E41,0)</f>
        <v>1.1588539266410809</v>
      </c>
      <c r="AB41" s="151">
        <f ca="1">OFFSET(IND!AE$25,$E41,0)</f>
        <v>1.1817675516290445</v>
      </c>
      <c r="AC41" s="151">
        <f ca="1">OFFSET(IND!AF$25,$E41,0)</f>
        <v>1.204681176617008</v>
      </c>
      <c r="AD41" s="151">
        <f ca="1">OFFSET(IND!AG$25,$E41,0)</f>
        <v>1.2275948016049714</v>
      </c>
      <c r="AE41" s="151">
        <f ca="1">OFFSET(IND!AH$25,$E41,0)</f>
        <v>1.2550114460832045</v>
      </c>
      <c r="AF41" s="151">
        <f ca="1">OFFSET(IND!AI$25,$E41,0)</f>
        <v>1.2824280905614374</v>
      </c>
      <c r="AG41" s="151">
        <f ca="1">OFFSET(IND!AJ$25,$E41,0)</f>
        <v>1.3098447350396705</v>
      </c>
      <c r="AH41" s="151">
        <f ca="1">OFFSET(IND!AK$25,$E41,0)</f>
        <v>1.3372613795179036</v>
      </c>
      <c r="AI41" s="151">
        <f ca="1">OFFSET(IND!AL$25,$E41,0)</f>
        <v>1.3646780239961365</v>
      </c>
      <c r="AJ41" s="151">
        <f ca="1">OFFSET(IND!AM$25,$E41,0)</f>
        <v>1.4899478021080745</v>
      </c>
      <c r="AK41" s="151">
        <f ca="1">OFFSET(IND!AN$25,$E41,0)</f>
        <v>1.6101787294857755</v>
      </c>
      <c r="AL41" s="151">
        <f ca="1">OFFSET(IND!AO$25,$E41,0)</f>
        <v>1.8565192434311175</v>
      </c>
      <c r="AM41" s="151">
        <f ca="1">OFFSET(IND!AP$25,$E41,0)</f>
        <v>2.1020199489207556</v>
      </c>
      <c r="AQ41" s="4"/>
    </row>
    <row r="42" spans="1:43">
      <c r="A42" s="36" t="s">
        <v>354</v>
      </c>
      <c r="B42" t="s">
        <v>398</v>
      </c>
      <c r="E42" s="154">
        <f ca="1">MATCH(F42,IND!$D$26:$D$255,0)</f>
        <v>131</v>
      </c>
      <c r="F42" s="4" t="str">
        <f t="shared" si="0"/>
        <v>INFA</v>
      </c>
      <c r="G42" s="151">
        <f ca="1">OFFSET(IND!J$25,$E42,0)</f>
        <v>0</v>
      </c>
      <c r="H42" s="151">
        <f ca="1">OFFSET(IND!K$25,$E42,0)</f>
        <v>0</v>
      </c>
      <c r="I42" s="151">
        <f ca="1">OFFSET(IND!L$25,$E42,0)</f>
        <v>0</v>
      </c>
      <c r="J42" s="151">
        <f ca="1">OFFSET(IND!M$25,$E42,0)</f>
        <v>0</v>
      </c>
      <c r="K42" s="151">
        <f ca="1">OFFSET(IND!N$25,$E42,0)</f>
        <v>0</v>
      </c>
      <c r="L42" s="151">
        <f ca="1">OFFSET(IND!O$25,$E42,0)</f>
        <v>0</v>
      </c>
      <c r="M42" s="151">
        <f ca="1">OFFSET(IND!P$25,$E42,0)</f>
        <v>0</v>
      </c>
      <c r="N42" s="151">
        <f ca="1">OFFSET(IND!Q$25,$E42,0)</f>
        <v>0</v>
      </c>
      <c r="O42" s="245">
        <f ca="1">OFFSET(IND!R$25,$E42,0)</f>
        <v>0</v>
      </c>
      <c r="P42" s="151">
        <f ca="1">OFFSET(IND!S$25,$E42,0)</f>
        <v>0</v>
      </c>
      <c r="Q42" s="151">
        <f ca="1">OFFSET(IND!T$25,$E42,0)</f>
        <v>0</v>
      </c>
      <c r="R42" s="151">
        <f ca="1">OFFSET(IND!U$25,$E42,0)</f>
        <v>0</v>
      </c>
      <c r="S42" s="151">
        <f ca="1">OFFSET(IND!V$25,$E42,0)</f>
        <v>0</v>
      </c>
      <c r="T42" s="245">
        <f ca="1">OFFSET(IND!W$25,$E42,0)</f>
        <v>0</v>
      </c>
      <c r="U42" s="151">
        <f ca="1">OFFSET(IND!X$25,$E42,0)</f>
        <v>0</v>
      </c>
      <c r="V42" s="151">
        <f ca="1">OFFSET(IND!Y$25,$E42,0)</f>
        <v>0</v>
      </c>
      <c r="W42" s="151">
        <f ca="1">OFFSET(IND!Z$25,$E42,0)</f>
        <v>0</v>
      </c>
      <c r="X42" s="151">
        <f ca="1">OFFSET(IND!AA$25,$E42,0)</f>
        <v>0</v>
      </c>
      <c r="Y42" s="247">
        <f ca="1">OFFSET(IND!AB$25,$E42,0)</f>
        <v>0</v>
      </c>
      <c r="Z42" s="151">
        <f ca="1">OFFSET(IND!AC$25,$E42,0)</f>
        <v>0</v>
      </c>
      <c r="AA42" s="151">
        <f ca="1">OFFSET(IND!AD$25,$E42,0)</f>
        <v>0</v>
      </c>
      <c r="AB42" s="151">
        <f ca="1">OFFSET(IND!AE$25,$E42,0)</f>
        <v>0</v>
      </c>
      <c r="AC42" s="151">
        <f ca="1">OFFSET(IND!AF$25,$E42,0)</f>
        <v>0</v>
      </c>
      <c r="AD42" s="151">
        <f ca="1">OFFSET(IND!AG$25,$E42,0)</f>
        <v>0</v>
      </c>
      <c r="AE42" s="151">
        <f ca="1">OFFSET(IND!AH$25,$E42,0)</f>
        <v>0</v>
      </c>
      <c r="AF42" s="151">
        <f ca="1">OFFSET(IND!AI$25,$E42,0)</f>
        <v>0</v>
      </c>
      <c r="AG42" s="151">
        <f ca="1">OFFSET(IND!AJ$25,$E42,0)</f>
        <v>0</v>
      </c>
      <c r="AH42" s="151">
        <f ca="1">OFFSET(IND!AK$25,$E42,0)</f>
        <v>0</v>
      </c>
      <c r="AI42" s="151">
        <f ca="1">OFFSET(IND!AL$25,$E42,0)</f>
        <v>0</v>
      </c>
      <c r="AJ42" s="151">
        <f ca="1">OFFSET(IND!AM$25,$E42,0)</f>
        <v>0</v>
      </c>
      <c r="AK42" s="151">
        <f ca="1">OFFSET(IND!AN$25,$E42,0)</f>
        <v>0</v>
      </c>
      <c r="AL42" s="151">
        <f ca="1">OFFSET(IND!AO$25,$E42,0)</f>
        <v>0</v>
      </c>
      <c r="AM42" s="151">
        <f ca="1">OFFSET(IND!AP$25,$E42,0)</f>
        <v>0</v>
      </c>
      <c r="AQ42" s="4"/>
    </row>
    <row r="43" spans="1:43">
      <c r="A43" s="36" t="s">
        <v>355</v>
      </c>
      <c r="B43" t="s">
        <v>398</v>
      </c>
      <c r="E43" s="154">
        <f ca="1">MATCH(F43,IND!$D$26:$D$255,0)</f>
        <v>133</v>
      </c>
      <c r="F43" s="4" t="str">
        <f t="shared" si="0"/>
        <v>INFC</v>
      </c>
      <c r="G43" s="151">
        <f ca="1">OFFSET(IND!J$25,$E43,0)</f>
        <v>0</v>
      </c>
      <c r="H43" s="151">
        <f ca="1">OFFSET(IND!K$25,$E43,0)</f>
        <v>0</v>
      </c>
      <c r="I43" s="151">
        <f ca="1">OFFSET(IND!L$25,$E43,0)</f>
        <v>0</v>
      </c>
      <c r="J43" s="151">
        <f ca="1">OFFSET(IND!M$25,$E43,0)</f>
        <v>0</v>
      </c>
      <c r="K43" s="151">
        <f ca="1">OFFSET(IND!N$25,$E43,0)</f>
        <v>0</v>
      </c>
      <c r="L43" s="151">
        <f ca="1">OFFSET(IND!O$25,$E43,0)</f>
        <v>0</v>
      </c>
      <c r="M43" s="151">
        <f ca="1">OFFSET(IND!P$25,$E43,0)</f>
        <v>0</v>
      </c>
      <c r="N43" s="151">
        <f ca="1">OFFSET(IND!Q$25,$E43,0)</f>
        <v>0</v>
      </c>
      <c r="O43" s="245">
        <f ca="1">OFFSET(IND!R$25,$E43,0)</f>
        <v>0</v>
      </c>
      <c r="P43" s="151">
        <f ca="1">OFFSET(IND!S$25,$E43,0)</f>
        <v>0</v>
      </c>
      <c r="Q43" s="151">
        <f ca="1">OFFSET(IND!T$25,$E43,0)</f>
        <v>0</v>
      </c>
      <c r="R43" s="151">
        <f ca="1">OFFSET(IND!U$25,$E43,0)</f>
        <v>0</v>
      </c>
      <c r="S43" s="151">
        <f ca="1">OFFSET(IND!V$25,$E43,0)</f>
        <v>0</v>
      </c>
      <c r="T43" s="245">
        <f ca="1">OFFSET(IND!W$25,$E43,0)</f>
        <v>0</v>
      </c>
      <c r="U43" s="151">
        <f ca="1">OFFSET(IND!X$25,$E43,0)</f>
        <v>0</v>
      </c>
      <c r="V43" s="151">
        <f ca="1">OFFSET(IND!Y$25,$E43,0)</f>
        <v>0</v>
      </c>
      <c r="W43" s="151">
        <f ca="1">OFFSET(IND!Z$25,$E43,0)</f>
        <v>0</v>
      </c>
      <c r="X43" s="151">
        <f ca="1">OFFSET(IND!AA$25,$E43,0)</f>
        <v>0</v>
      </c>
      <c r="Y43" s="247">
        <f ca="1">OFFSET(IND!AB$25,$E43,0)</f>
        <v>0</v>
      </c>
      <c r="Z43" s="151">
        <f ca="1">OFFSET(IND!AC$25,$E43,0)</f>
        <v>0</v>
      </c>
      <c r="AA43" s="151">
        <f ca="1">OFFSET(IND!AD$25,$E43,0)</f>
        <v>0</v>
      </c>
      <c r="AB43" s="151">
        <f ca="1">OFFSET(IND!AE$25,$E43,0)</f>
        <v>0</v>
      </c>
      <c r="AC43" s="151">
        <f ca="1">OFFSET(IND!AF$25,$E43,0)</f>
        <v>0</v>
      </c>
      <c r="AD43" s="151">
        <f ca="1">OFFSET(IND!AG$25,$E43,0)</f>
        <v>0</v>
      </c>
      <c r="AE43" s="151">
        <f ca="1">OFFSET(IND!AH$25,$E43,0)</f>
        <v>0</v>
      </c>
      <c r="AF43" s="151">
        <f ca="1">OFFSET(IND!AI$25,$E43,0)</f>
        <v>0</v>
      </c>
      <c r="AG43" s="151">
        <f ca="1">OFFSET(IND!AJ$25,$E43,0)</f>
        <v>0</v>
      </c>
      <c r="AH43" s="151">
        <f ca="1">OFFSET(IND!AK$25,$E43,0)</f>
        <v>0</v>
      </c>
      <c r="AI43" s="151">
        <f ca="1">OFFSET(IND!AL$25,$E43,0)</f>
        <v>0</v>
      </c>
      <c r="AJ43" s="151">
        <f ca="1">OFFSET(IND!AM$25,$E43,0)</f>
        <v>0</v>
      </c>
      <c r="AK43" s="151">
        <f ca="1">OFFSET(IND!AN$25,$E43,0)</f>
        <v>0</v>
      </c>
      <c r="AL43" s="151">
        <f ca="1">OFFSET(IND!AO$25,$E43,0)</f>
        <v>0</v>
      </c>
      <c r="AM43" s="151">
        <f ca="1">OFFSET(IND!AP$25,$E43,0)</f>
        <v>0</v>
      </c>
      <c r="AQ43" s="4"/>
    </row>
    <row r="44" spans="1:43">
      <c r="A44" s="36" t="s">
        <v>356</v>
      </c>
      <c r="B44">
        <v>55.015944485879999</v>
      </c>
      <c r="E44" s="154">
        <f ca="1">MATCH(F44,IND!$D$26:$D$255,0)</f>
        <v>138</v>
      </c>
      <c r="F44" s="4" t="str">
        <f t="shared" si="0"/>
        <v>INFE</v>
      </c>
      <c r="G44" s="151">
        <f ca="1">OFFSET(IND!J$25,$E44,0)</f>
        <v>45.684078335879221</v>
      </c>
      <c r="H44" s="151">
        <f ca="1">OFFSET(IND!K$25,$E44,0)</f>
        <v>43.062333199586909</v>
      </c>
      <c r="I44" s="151">
        <f ca="1">OFFSET(IND!L$25,$E44,0)</f>
        <v>40.440588063294598</v>
      </c>
      <c r="J44" s="151">
        <f ca="1">OFFSET(IND!M$25,$E44,0)</f>
        <v>36.990036000000003</v>
      </c>
      <c r="K44" s="151">
        <f ca="1">OFFSET(IND!N$25,$E44,0)</f>
        <v>36.990036000000003</v>
      </c>
      <c r="L44" s="151">
        <f ca="1">OFFSET(IND!O$25,$E44,0)</f>
        <v>36.990036000000003</v>
      </c>
      <c r="M44" s="151">
        <f ca="1">OFFSET(IND!P$25,$E44,0)</f>
        <v>36.537770317948997</v>
      </c>
      <c r="N44" s="151">
        <f ca="1">OFFSET(IND!Q$25,$E44,0)</f>
        <v>36.085504635897991</v>
      </c>
      <c r="O44" s="245">
        <f ca="1">OFFSET(IND!R$25,$E44,0)</f>
        <v>35.633238953846977</v>
      </c>
      <c r="P44" s="151">
        <f ca="1">OFFSET(IND!S$25,$E44,0)</f>
        <v>35.351055213939539</v>
      </c>
      <c r="Q44" s="151">
        <f ca="1">OFFSET(IND!T$25,$E44,0)</f>
        <v>35.0688714740321</v>
      </c>
      <c r="R44" s="151">
        <f ca="1">OFFSET(IND!U$25,$E44,0)</f>
        <v>34.786687734124662</v>
      </c>
      <c r="S44" s="151">
        <f ca="1">OFFSET(IND!V$25,$E44,0)</f>
        <v>34.504503994217224</v>
      </c>
      <c r="T44" s="245">
        <f ca="1">OFFSET(IND!W$25,$E44,0)</f>
        <v>34.222320254309793</v>
      </c>
      <c r="U44" s="151">
        <f ca="1">OFFSET(IND!X$25,$E44,0)</f>
        <v>35.797418307000306</v>
      </c>
      <c r="V44" s="151">
        <f ca="1">OFFSET(IND!Y$25,$E44,0)</f>
        <v>37.37251635969082</v>
      </c>
      <c r="W44" s="151">
        <f ca="1">OFFSET(IND!Z$25,$E44,0)</f>
        <v>38.947614412381341</v>
      </c>
      <c r="X44" s="151">
        <f ca="1">OFFSET(IND!AA$25,$E44,0)</f>
        <v>40.522712465071862</v>
      </c>
      <c r="Y44" s="247">
        <f ca="1">OFFSET(IND!AB$25,$E44,0)</f>
        <v>42.097810517762383</v>
      </c>
      <c r="Z44" s="151">
        <f ca="1">OFFSET(IND!AC$25,$E44,0)</f>
        <v>43.056200330058665</v>
      </c>
      <c r="AA44" s="151">
        <f ca="1">OFFSET(IND!AD$25,$E44,0)</f>
        <v>44.01459014235494</v>
      </c>
      <c r="AB44" s="151">
        <f ca="1">OFFSET(IND!AE$25,$E44,0)</f>
        <v>44.972979954651223</v>
      </c>
      <c r="AC44" s="151">
        <f ca="1">OFFSET(IND!AF$25,$E44,0)</f>
        <v>45.931369766947505</v>
      </c>
      <c r="AD44" s="151">
        <f ca="1">OFFSET(IND!AG$25,$E44,0)</f>
        <v>46.889759579243773</v>
      </c>
      <c r="AE44" s="151">
        <f ca="1">OFFSET(IND!AH$25,$E44,0)</f>
        <v>48.02133062646071</v>
      </c>
      <c r="AF44" s="151">
        <f ca="1">OFFSET(IND!AI$25,$E44,0)</f>
        <v>49.15290167367764</v>
      </c>
      <c r="AG44" s="151">
        <f ca="1">OFFSET(IND!AJ$25,$E44,0)</f>
        <v>50.284472720894577</v>
      </c>
      <c r="AH44" s="151">
        <f ca="1">OFFSET(IND!AK$25,$E44,0)</f>
        <v>51.416043768111514</v>
      </c>
      <c r="AI44" s="151">
        <f ca="1">OFFSET(IND!AL$25,$E44,0)</f>
        <v>52.547614815328437</v>
      </c>
      <c r="AJ44" s="151">
        <f ca="1">OFFSET(IND!AM$25,$E44,0)</f>
        <v>54.251699347407666</v>
      </c>
      <c r="AK44" s="151">
        <f ca="1">OFFSET(IND!AN$25,$E44,0)</f>
        <v>56.78592527594936</v>
      </c>
      <c r="AL44" s="151">
        <f ca="1">OFFSET(IND!AO$25,$E44,0)</f>
        <v>60.8858788371599</v>
      </c>
      <c r="AM44" s="151">
        <f ca="1">OFFSET(IND!AP$25,$E44,0)</f>
        <v>65.124189297780845</v>
      </c>
      <c r="AQ44" s="4"/>
    </row>
    <row r="45" spans="1:43">
      <c r="A45" s="36" t="s">
        <v>357</v>
      </c>
      <c r="B45" t="s">
        <v>398</v>
      </c>
      <c r="E45" s="154">
        <f ca="1">MATCH(F45,IND!$D$26:$D$255,0)</f>
        <v>136</v>
      </c>
      <c r="F45" s="4" t="str">
        <f t="shared" si="0"/>
        <v>INFF</v>
      </c>
      <c r="G45" s="151">
        <f ca="1">OFFSET(IND!J$25,$E45,0)</f>
        <v>0</v>
      </c>
      <c r="H45" s="151">
        <f ca="1">OFFSET(IND!K$25,$E45,0)</f>
        <v>0</v>
      </c>
      <c r="I45" s="151">
        <f ca="1">OFFSET(IND!L$25,$E45,0)</f>
        <v>0</v>
      </c>
      <c r="J45" s="151">
        <f ca="1">OFFSET(IND!M$25,$E45,0)</f>
        <v>0</v>
      </c>
      <c r="K45" s="151">
        <f ca="1">OFFSET(IND!N$25,$E45,0)</f>
        <v>0</v>
      </c>
      <c r="L45" s="151">
        <f ca="1">OFFSET(IND!O$25,$E45,0)</f>
        <v>0</v>
      </c>
      <c r="M45" s="151">
        <f ca="1">OFFSET(IND!P$25,$E45,0)</f>
        <v>0</v>
      </c>
      <c r="N45" s="151">
        <f ca="1">OFFSET(IND!Q$25,$E45,0)</f>
        <v>0</v>
      </c>
      <c r="O45" s="245">
        <f ca="1">OFFSET(IND!R$25,$E45,0)</f>
        <v>0</v>
      </c>
      <c r="P45" s="151">
        <f ca="1">OFFSET(IND!S$25,$E45,0)</f>
        <v>0</v>
      </c>
      <c r="Q45" s="151">
        <f ca="1">OFFSET(IND!T$25,$E45,0)</f>
        <v>0</v>
      </c>
      <c r="R45" s="151">
        <f ca="1">OFFSET(IND!U$25,$E45,0)</f>
        <v>0</v>
      </c>
      <c r="S45" s="151">
        <f ca="1">OFFSET(IND!V$25,$E45,0)</f>
        <v>0</v>
      </c>
      <c r="T45" s="245">
        <f ca="1">OFFSET(IND!W$25,$E45,0)</f>
        <v>0</v>
      </c>
      <c r="U45" s="151">
        <f ca="1">OFFSET(IND!X$25,$E45,0)</f>
        <v>0</v>
      </c>
      <c r="V45" s="151">
        <f ca="1">OFFSET(IND!Y$25,$E45,0)</f>
        <v>0</v>
      </c>
      <c r="W45" s="151">
        <f ca="1">OFFSET(IND!Z$25,$E45,0)</f>
        <v>0</v>
      </c>
      <c r="X45" s="151">
        <f ca="1">OFFSET(IND!AA$25,$E45,0)</f>
        <v>0</v>
      </c>
      <c r="Y45" s="247">
        <f ca="1">OFFSET(IND!AB$25,$E45,0)</f>
        <v>0</v>
      </c>
      <c r="Z45" s="151">
        <f ca="1">OFFSET(IND!AC$25,$E45,0)</f>
        <v>0</v>
      </c>
      <c r="AA45" s="151">
        <f ca="1">OFFSET(IND!AD$25,$E45,0)</f>
        <v>0</v>
      </c>
      <c r="AB45" s="151">
        <f ca="1">OFFSET(IND!AE$25,$E45,0)</f>
        <v>0</v>
      </c>
      <c r="AC45" s="151">
        <f ca="1">OFFSET(IND!AF$25,$E45,0)</f>
        <v>0</v>
      </c>
      <c r="AD45" s="151">
        <f ca="1">OFFSET(IND!AG$25,$E45,0)</f>
        <v>0</v>
      </c>
      <c r="AE45" s="151">
        <f ca="1">OFFSET(IND!AH$25,$E45,0)</f>
        <v>0</v>
      </c>
      <c r="AF45" s="151">
        <f ca="1">OFFSET(IND!AI$25,$E45,0)</f>
        <v>0</v>
      </c>
      <c r="AG45" s="151">
        <f ca="1">OFFSET(IND!AJ$25,$E45,0)</f>
        <v>0</v>
      </c>
      <c r="AH45" s="151">
        <f ca="1">OFFSET(IND!AK$25,$E45,0)</f>
        <v>0</v>
      </c>
      <c r="AI45" s="151">
        <f ca="1">OFFSET(IND!AL$25,$E45,0)</f>
        <v>0</v>
      </c>
      <c r="AJ45" s="151">
        <f ca="1">OFFSET(IND!AM$25,$E45,0)</f>
        <v>0</v>
      </c>
      <c r="AK45" s="151">
        <f ca="1">OFFSET(IND!AN$25,$E45,0)</f>
        <v>0</v>
      </c>
      <c r="AL45" s="151">
        <f ca="1">OFFSET(IND!AO$25,$E45,0)</f>
        <v>0</v>
      </c>
      <c r="AM45" s="151">
        <f ca="1">OFFSET(IND!AP$25,$E45,0)</f>
        <v>0</v>
      </c>
      <c r="AQ45" s="4"/>
    </row>
    <row r="46" spans="1:43">
      <c r="A46" s="36" t="s">
        <v>358</v>
      </c>
      <c r="B46">
        <v>0.72389400639309998</v>
      </c>
      <c r="E46" s="154">
        <f ca="1">MATCH(F46,IND!$D$26:$D$255,0)</f>
        <v>134</v>
      </c>
      <c r="F46" s="4" t="str">
        <f t="shared" si="0"/>
        <v>INFH</v>
      </c>
      <c r="G46" s="151">
        <f ca="1">OFFSET(IND!J$25,$E46,0)</f>
        <v>0.60110629389314751</v>
      </c>
      <c r="H46" s="151">
        <f ca="1">OFFSET(IND!K$25,$E46,0)</f>
        <v>0.56660964736298547</v>
      </c>
      <c r="I46" s="151">
        <f ca="1">OFFSET(IND!L$25,$E46,0)</f>
        <v>0.53211300083282342</v>
      </c>
      <c r="J46" s="151">
        <f ca="1">OFFSET(IND!M$25,$E46,0)</f>
        <v>0.486711</v>
      </c>
      <c r="K46" s="151">
        <f ca="1">OFFSET(IND!N$25,$E46,0)</f>
        <v>0.486711</v>
      </c>
      <c r="L46" s="151">
        <f ca="1">OFFSET(IND!O$25,$E46,0)</f>
        <v>0.486711</v>
      </c>
      <c r="M46" s="151">
        <f ca="1">OFFSET(IND!P$25,$E46,0)</f>
        <v>0.48076013576248677</v>
      </c>
      <c r="N46" s="151">
        <f ca="1">OFFSET(IND!Q$25,$E46,0)</f>
        <v>0.4748092715249736</v>
      </c>
      <c r="O46" s="245">
        <f ca="1">OFFSET(IND!R$25,$E46,0)</f>
        <v>0.46885840728746031</v>
      </c>
      <c r="P46" s="151">
        <f ca="1">OFFSET(IND!S$25,$E46,0)</f>
        <v>0.46514546334130979</v>
      </c>
      <c r="Q46" s="151">
        <f ca="1">OFFSET(IND!T$25,$E46,0)</f>
        <v>0.46143251939515928</v>
      </c>
      <c r="R46" s="151">
        <f ca="1">OFFSET(IND!U$25,$E46,0)</f>
        <v>0.45771957544900876</v>
      </c>
      <c r="S46" s="151">
        <f ca="1">OFFSET(IND!V$25,$E46,0)</f>
        <v>0.4540066315028583</v>
      </c>
      <c r="T46" s="245">
        <f ca="1">OFFSET(IND!W$25,$E46,0)</f>
        <v>0.4502936875567079</v>
      </c>
      <c r="U46" s="151">
        <f ca="1">OFFSET(IND!X$25,$E46,0)</f>
        <v>0.47101866193421466</v>
      </c>
      <c r="V46" s="151">
        <f ca="1">OFFSET(IND!Y$25,$E46,0)</f>
        <v>0.49174363631172141</v>
      </c>
      <c r="W46" s="151">
        <f ca="1">OFFSET(IND!Z$25,$E46,0)</f>
        <v>0.51246861068922822</v>
      </c>
      <c r="X46" s="151">
        <f ca="1">OFFSET(IND!AA$25,$E46,0)</f>
        <v>0.53319358506673509</v>
      </c>
      <c r="Y46" s="247">
        <f ca="1">OFFSET(IND!AB$25,$E46,0)</f>
        <v>0.55391855944424195</v>
      </c>
      <c r="Z46" s="151">
        <f ca="1">OFFSET(IND!AC$25,$E46,0)</f>
        <v>0.56652895171129825</v>
      </c>
      <c r="AA46" s="151">
        <f ca="1">OFFSET(IND!AD$25,$E46,0)</f>
        <v>0.57913934397835454</v>
      </c>
      <c r="AB46" s="151">
        <f ca="1">OFFSET(IND!AE$25,$E46,0)</f>
        <v>0.59174973624541094</v>
      </c>
      <c r="AC46" s="151">
        <f ca="1">OFFSET(IND!AF$25,$E46,0)</f>
        <v>0.60436012851246734</v>
      </c>
      <c r="AD46" s="151">
        <f ca="1">OFFSET(IND!AG$25,$E46,0)</f>
        <v>0.61697052077952352</v>
      </c>
      <c r="AE46" s="151">
        <f ca="1">OFFSET(IND!AH$25,$E46,0)</f>
        <v>0.63185961350606212</v>
      </c>
      <c r="AF46" s="151">
        <f ca="1">OFFSET(IND!AI$25,$E46,0)</f>
        <v>0.64674870623260072</v>
      </c>
      <c r="AG46" s="151">
        <f ca="1">OFFSET(IND!AJ$25,$E46,0)</f>
        <v>0.66163779895913943</v>
      </c>
      <c r="AH46" s="151">
        <f ca="1">OFFSET(IND!AK$25,$E46,0)</f>
        <v>0.67652689168567814</v>
      </c>
      <c r="AI46" s="151">
        <f ca="1">OFFSET(IND!AL$25,$E46,0)</f>
        <v>0.69141598441221663</v>
      </c>
      <c r="AJ46" s="151">
        <f ca="1">OFFSET(IND!AM$25,$E46,0)</f>
        <v>0.71383814930799594</v>
      </c>
      <c r="AK46" s="151">
        <f ca="1">OFFSET(IND!AN$25,$E46,0)</f>
        <v>0.74718322731512354</v>
      </c>
      <c r="AL46" s="151">
        <f ca="1">OFFSET(IND!AO$25,$E46,0)</f>
        <v>0.80112998469947283</v>
      </c>
      <c r="AM46" s="151">
        <f ca="1">OFFSET(IND!AP$25,$E46,0)</f>
        <v>0.85689722760237996</v>
      </c>
      <c r="AQ46" s="4"/>
    </row>
    <row r="47" spans="1:43">
      <c r="A47" s="36" t="s">
        <v>359</v>
      </c>
      <c r="B47">
        <v>0.80432667377019995</v>
      </c>
      <c r="E47" s="154">
        <f ca="1">MATCH(F47,IND!$D$26:$D$255,0)</f>
        <v>130</v>
      </c>
      <c r="F47" s="4" t="str">
        <f t="shared" si="0"/>
        <v>INFK</v>
      </c>
      <c r="G47" s="151">
        <f ca="1">OFFSET(IND!J$25,$E47,0)</f>
        <v>0.66789588210349726</v>
      </c>
      <c r="H47" s="151">
        <f ca="1">OFFSET(IND!K$25,$E47,0)</f>
        <v>0.62956627484776173</v>
      </c>
      <c r="I47" s="151">
        <f ca="1">OFFSET(IND!L$25,$E47,0)</f>
        <v>0.5912366675920262</v>
      </c>
      <c r="J47" s="151">
        <f ca="1">OFFSET(IND!M$25,$E47,0)</f>
        <v>0.54078999999999999</v>
      </c>
      <c r="K47" s="151">
        <f ca="1">OFFSET(IND!N$25,$E47,0)</f>
        <v>0.54078999999999999</v>
      </c>
      <c r="L47" s="151">
        <f ca="1">OFFSET(IND!O$25,$E47,0)</f>
        <v>0.54078999999999999</v>
      </c>
      <c r="M47" s="151">
        <f ca="1">OFFSET(IND!P$25,$E47,0)</f>
        <v>0.53417792862498537</v>
      </c>
      <c r="N47" s="151">
        <f ca="1">OFFSET(IND!Q$25,$E47,0)</f>
        <v>0.52756585724997074</v>
      </c>
      <c r="O47" s="245">
        <f ca="1">OFFSET(IND!R$25,$E47,0)</f>
        <v>0.520953785874956</v>
      </c>
      <c r="P47" s="151">
        <f ca="1">OFFSET(IND!S$25,$E47,0)</f>
        <v>0.51682829260145546</v>
      </c>
      <c r="Q47" s="151">
        <f ca="1">OFFSET(IND!T$25,$E47,0)</f>
        <v>0.51270279932795493</v>
      </c>
      <c r="R47" s="151">
        <f ca="1">OFFSET(IND!U$25,$E47,0)</f>
        <v>0.50857730605445439</v>
      </c>
      <c r="S47" s="151">
        <f ca="1">OFFSET(IND!V$25,$E47,0)</f>
        <v>0.50445181278095386</v>
      </c>
      <c r="T47" s="245">
        <f ca="1">OFFSET(IND!W$25,$E47,0)</f>
        <v>0.50032631950745343</v>
      </c>
      <c r="U47" s="151">
        <f ca="1">OFFSET(IND!X$25,$E47,0)</f>
        <v>0.52335406881579427</v>
      </c>
      <c r="V47" s="151">
        <f ca="1">OFFSET(IND!Y$25,$E47,0)</f>
        <v>0.54638181812413511</v>
      </c>
      <c r="W47" s="151">
        <f ca="1">OFFSET(IND!Z$25,$E47,0)</f>
        <v>0.56940956743247606</v>
      </c>
      <c r="X47" s="151">
        <f ca="1">OFFSET(IND!AA$25,$E47,0)</f>
        <v>0.59243731674081701</v>
      </c>
      <c r="Y47" s="247">
        <f ca="1">OFFSET(IND!AB$25,$E47,0)</f>
        <v>0.61546506604915796</v>
      </c>
      <c r="Z47" s="151">
        <f ca="1">OFFSET(IND!AC$25,$E47,0)</f>
        <v>0.62947661301255387</v>
      </c>
      <c r="AA47" s="151">
        <f ca="1">OFFSET(IND!AD$25,$E47,0)</f>
        <v>0.64348815997594977</v>
      </c>
      <c r="AB47" s="151">
        <f ca="1">OFFSET(IND!AE$25,$E47,0)</f>
        <v>0.65749970693934578</v>
      </c>
      <c r="AC47" s="151">
        <f ca="1">OFFSET(IND!AF$25,$E47,0)</f>
        <v>0.6715112539027418</v>
      </c>
      <c r="AD47" s="151">
        <f ca="1">OFFSET(IND!AG$25,$E47,0)</f>
        <v>0.68552280086613759</v>
      </c>
      <c r="AE47" s="151">
        <f ca="1">OFFSET(IND!AH$25,$E47,0)</f>
        <v>0.70206623722895833</v>
      </c>
      <c r="AF47" s="151">
        <f ca="1">OFFSET(IND!AI$25,$E47,0)</f>
        <v>0.71860967359177896</v>
      </c>
      <c r="AG47" s="151">
        <f ca="1">OFFSET(IND!AJ$25,$E47,0)</f>
        <v>0.7351531099545997</v>
      </c>
      <c r="AH47" s="151">
        <f ca="1">OFFSET(IND!AK$25,$E47,0)</f>
        <v>0.75169654631742044</v>
      </c>
      <c r="AI47" s="151">
        <f ca="1">OFFSET(IND!AL$25,$E47,0)</f>
        <v>0.76823998268024096</v>
      </c>
      <c r="AJ47" s="151">
        <f ca="1">OFFSET(IND!AM$25,$E47,0)</f>
        <v>0.7931534992311069</v>
      </c>
      <c r="AK47" s="151">
        <f ca="1">OFFSET(IND!AN$25,$E47,0)</f>
        <v>0.8302035859056931</v>
      </c>
      <c r="AL47" s="151">
        <f ca="1">OFFSET(IND!AO$25,$E47,0)</f>
        <v>0.89014442744385891</v>
      </c>
      <c r="AM47" s="151">
        <f ca="1">OFFSET(IND!AP$25,$E47,0)</f>
        <v>0.95210803066931127</v>
      </c>
      <c r="AQ47" s="4"/>
    </row>
    <row r="48" spans="1:43">
      <c r="A48" s="36" t="s">
        <v>360</v>
      </c>
      <c r="B48">
        <v>0.241298002131</v>
      </c>
      <c r="E48" s="154">
        <f ca="1">MATCH(F48,IND!$D$26:$D$255,0)</f>
        <v>132</v>
      </c>
      <c r="F48" s="4" t="str">
        <f t="shared" si="0"/>
        <v>INFL</v>
      </c>
      <c r="G48" s="151">
        <f ca="1">OFFSET(IND!J$25,$E48,0)</f>
        <v>0.20036876463104916</v>
      </c>
      <c r="H48" s="151">
        <f ca="1">OFFSET(IND!K$25,$E48,0)</f>
        <v>0.18886988245432848</v>
      </c>
      <c r="I48" s="151">
        <f ca="1">OFFSET(IND!L$25,$E48,0)</f>
        <v>0.1773710002776078</v>
      </c>
      <c r="J48" s="151">
        <f ca="1">OFFSET(IND!M$25,$E48,0)</f>
        <v>0.16223699999999999</v>
      </c>
      <c r="K48" s="151">
        <f ca="1">OFFSET(IND!N$25,$E48,0)</f>
        <v>0.16223699999999999</v>
      </c>
      <c r="L48" s="151">
        <f ca="1">OFFSET(IND!O$25,$E48,0)</f>
        <v>0.16223699999999999</v>
      </c>
      <c r="M48" s="151">
        <f ca="1">OFFSET(IND!P$25,$E48,0)</f>
        <v>0.16025337858749558</v>
      </c>
      <c r="N48" s="151">
        <f ca="1">OFFSET(IND!Q$25,$E48,0)</f>
        <v>0.15826975717499117</v>
      </c>
      <c r="O48" s="245">
        <f ca="1">OFFSET(IND!R$25,$E48,0)</f>
        <v>0.15628613576248673</v>
      </c>
      <c r="P48" s="151">
        <f ca="1">OFFSET(IND!S$25,$E48,0)</f>
        <v>0.15504848778043656</v>
      </c>
      <c r="Q48" s="151">
        <f ca="1">OFFSET(IND!T$25,$E48,0)</f>
        <v>0.15381083979838639</v>
      </c>
      <c r="R48" s="151">
        <f ca="1">OFFSET(IND!U$25,$E48,0)</f>
        <v>0.15257319181633622</v>
      </c>
      <c r="S48" s="151">
        <f ca="1">OFFSET(IND!V$25,$E48,0)</f>
        <v>0.15133554383428605</v>
      </c>
      <c r="T48" s="245">
        <f ca="1">OFFSET(IND!W$25,$E48,0)</f>
        <v>0.1500978958522359</v>
      </c>
      <c r="U48" s="151">
        <f ca="1">OFFSET(IND!X$25,$E48,0)</f>
        <v>0.15700622064473815</v>
      </c>
      <c r="V48" s="151">
        <f ca="1">OFFSET(IND!Y$25,$E48,0)</f>
        <v>0.16391454543724041</v>
      </c>
      <c r="W48" s="151">
        <f ca="1">OFFSET(IND!Z$25,$E48,0)</f>
        <v>0.17082287022974268</v>
      </c>
      <c r="X48" s="151">
        <f ca="1">OFFSET(IND!AA$25,$E48,0)</f>
        <v>0.17773119502224496</v>
      </c>
      <c r="Y48" s="247">
        <f ca="1">OFFSET(IND!AB$25,$E48,0)</f>
        <v>0.18463951981474724</v>
      </c>
      <c r="Z48" s="151">
        <f ca="1">OFFSET(IND!AC$25,$E48,0)</f>
        <v>0.188842983903766</v>
      </c>
      <c r="AA48" s="151">
        <f ca="1">OFFSET(IND!AD$25,$E48,0)</f>
        <v>0.19304644799278475</v>
      </c>
      <c r="AB48" s="151">
        <f ca="1">OFFSET(IND!AE$25,$E48,0)</f>
        <v>0.19724991208180354</v>
      </c>
      <c r="AC48" s="151">
        <f ca="1">OFFSET(IND!AF$25,$E48,0)</f>
        <v>0.20145337617082232</v>
      </c>
      <c r="AD48" s="151">
        <f ca="1">OFFSET(IND!AG$25,$E48,0)</f>
        <v>0.20565684025984104</v>
      </c>
      <c r="AE48" s="151">
        <f ca="1">OFFSET(IND!AH$25,$E48,0)</f>
        <v>0.21061987116868724</v>
      </c>
      <c r="AF48" s="151">
        <f ca="1">OFFSET(IND!AI$25,$E48,0)</f>
        <v>0.21558290207753344</v>
      </c>
      <c r="AG48" s="151">
        <f ca="1">OFFSET(IND!AJ$25,$E48,0)</f>
        <v>0.22054593298637967</v>
      </c>
      <c r="AH48" s="151">
        <f ca="1">OFFSET(IND!AK$25,$E48,0)</f>
        <v>0.2255089638952259</v>
      </c>
      <c r="AI48" s="151">
        <f ca="1">OFFSET(IND!AL$25,$E48,0)</f>
        <v>0.23047199480407204</v>
      </c>
      <c r="AJ48" s="151">
        <f ca="1">OFFSET(IND!AM$25,$E48,0)</f>
        <v>0.23794604976933181</v>
      </c>
      <c r="AK48" s="151">
        <f ca="1">OFFSET(IND!AN$25,$E48,0)</f>
        <v>0.24906107577170766</v>
      </c>
      <c r="AL48" s="151">
        <f ca="1">OFFSET(IND!AO$25,$E48,0)</f>
        <v>0.26704332823315741</v>
      </c>
      <c r="AM48" s="151">
        <f ca="1">OFFSET(IND!AP$25,$E48,0)</f>
        <v>0.28563240920079308</v>
      </c>
      <c r="AQ48" s="4"/>
    </row>
    <row r="49" spans="1:43">
      <c r="A49" s="36" t="s">
        <v>361</v>
      </c>
      <c r="B49">
        <v>4.5042293731129996</v>
      </c>
      <c r="E49" s="154">
        <f ca="1">MATCH(F49,IND!$D$26:$D$255,0)</f>
        <v>137</v>
      </c>
      <c r="F49" s="4" t="str">
        <f t="shared" si="0"/>
        <v>INFO</v>
      </c>
      <c r="G49" s="151">
        <f ca="1">OFFSET(IND!J$25,$E49,0)</f>
        <v>3.7402169397795855</v>
      </c>
      <c r="H49" s="151">
        <f ca="1">OFFSET(IND!K$25,$E49,0)</f>
        <v>3.5255711391474662</v>
      </c>
      <c r="I49" s="151">
        <f ca="1">OFFSET(IND!L$25,$E49,0)</f>
        <v>3.310925338515347</v>
      </c>
      <c r="J49" s="151">
        <f ca="1">OFFSET(IND!M$25,$E49,0)</f>
        <v>3.0284240000000007</v>
      </c>
      <c r="K49" s="151">
        <f ca="1">OFFSET(IND!N$25,$E49,0)</f>
        <v>3.0284240000000007</v>
      </c>
      <c r="L49" s="151">
        <f ca="1">OFFSET(IND!O$25,$E49,0)</f>
        <v>3.0284240000000007</v>
      </c>
      <c r="M49" s="151">
        <f ca="1">OFFSET(IND!P$25,$E49,0)</f>
        <v>2.9913964002999185</v>
      </c>
      <c r="N49" s="151">
        <f ca="1">OFFSET(IND!Q$25,$E49,0)</f>
        <v>2.9543688005998363</v>
      </c>
      <c r="O49" s="245">
        <f ca="1">OFFSET(IND!R$25,$E49,0)</f>
        <v>2.9173412008997537</v>
      </c>
      <c r="P49" s="151">
        <f ca="1">OFFSET(IND!S$25,$E49,0)</f>
        <v>2.8942384385681508</v>
      </c>
      <c r="Q49" s="151">
        <f ca="1">OFFSET(IND!T$25,$E49,0)</f>
        <v>2.8711356762365474</v>
      </c>
      <c r="R49" s="151">
        <f ca="1">OFFSET(IND!U$25,$E49,0)</f>
        <v>2.8480329139049445</v>
      </c>
      <c r="S49" s="151">
        <f ca="1">OFFSET(IND!V$25,$E49,0)</f>
        <v>2.8249301515733416</v>
      </c>
      <c r="T49" s="245">
        <f ca="1">OFFSET(IND!W$25,$E49,0)</f>
        <v>2.8018273892417391</v>
      </c>
      <c r="U49" s="151">
        <f ca="1">OFFSET(IND!X$25,$E49,0)</f>
        <v>2.9307827853684478</v>
      </c>
      <c r="V49" s="151">
        <f ca="1">OFFSET(IND!Y$25,$E49,0)</f>
        <v>3.0597381814951565</v>
      </c>
      <c r="W49" s="151">
        <f ca="1">OFFSET(IND!Z$25,$E49,0)</f>
        <v>3.1886935776218657</v>
      </c>
      <c r="X49" s="151">
        <f ca="1">OFFSET(IND!AA$25,$E49,0)</f>
        <v>3.3176489737485748</v>
      </c>
      <c r="Y49" s="247">
        <f ca="1">OFFSET(IND!AB$25,$E49,0)</f>
        <v>3.4466043698752844</v>
      </c>
      <c r="Z49" s="151">
        <f ca="1">OFFSET(IND!AC$25,$E49,0)</f>
        <v>3.5250690328703014</v>
      </c>
      <c r="AA49" s="151">
        <f ca="1">OFFSET(IND!AD$25,$E49,0)</f>
        <v>3.6035336958653184</v>
      </c>
      <c r="AB49" s="151">
        <f ca="1">OFFSET(IND!AE$25,$E49,0)</f>
        <v>3.6819983588603358</v>
      </c>
      <c r="AC49" s="151">
        <f ca="1">OFFSET(IND!AF$25,$E49,0)</f>
        <v>3.7604630218553532</v>
      </c>
      <c r="AD49" s="151">
        <f ca="1">OFFSET(IND!AG$25,$E49,0)</f>
        <v>3.8389276848503693</v>
      </c>
      <c r="AE49" s="151">
        <f ca="1">OFFSET(IND!AH$25,$E49,0)</f>
        <v>3.9315709284821652</v>
      </c>
      <c r="AF49" s="151">
        <f ca="1">OFFSET(IND!AI$25,$E49,0)</f>
        <v>4.024214172113961</v>
      </c>
      <c r="AG49" s="151">
        <f ca="1">OFFSET(IND!AJ$25,$E49,0)</f>
        <v>4.1168574157457574</v>
      </c>
      <c r="AH49" s="151">
        <f ca="1">OFFSET(IND!AK$25,$E49,0)</f>
        <v>4.2095006593775537</v>
      </c>
      <c r="AI49" s="151">
        <f ca="1">OFFSET(IND!AL$25,$E49,0)</f>
        <v>4.3021439030093482</v>
      </c>
      <c r="AJ49" s="151">
        <f ca="1">OFFSET(IND!AM$25,$E49,0)</f>
        <v>4.4416595956941975</v>
      </c>
      <c r="AK49" s="151">
        <f ca="1">OFFSET(IND!AN$25,$E49,0)</f>
        <v>4.6491400810718799</v>
      </c>
      <c r="AL49" s="151">
        <f ca="1">OFFSET(IND!AO$25,$E49,0)</f>
        <v>4.9848087936856089</v>
      </c>
      <c r="AM49" s="151">
        <f ca="1">OFFSET(IND!AP$25,$E49,0)</f>
        <v>5.3318049717481424</v>
      </c>
      <c r="AQ49" s="4"/>
    </row>
    <row r="50" spans="1:43">
      <c r="A50" s="36" t="s">
        <v>362</v>
      </c>
      <c r="B50" t="s">
        <v>398</v>
      </c>
      <c r="E50" s="154">
        <f ca="1">MATCH(F50,IND!$D$26:$D$255,0)</f>
        <v>135</v>
      </c>
      <c r="F50" s="4" t="str">
        <f t="shared" si="0"/>
        <v>INFP</v>
      </c>
      <c r="G50" s="151">
        <f ca="1">OFFSET(IND!J$25,$E50,0)</f>
        <v>0</v>
      </c>
      <c r="H50" s="151">
        <f ca="1">OFFSET(IND!K$25,$E50,0)</f>
        <v>0</v>
      </c>
      <c r="I50" s="151">
        <f ca="1">OFFSET(IND!L$25,$E50,0)</f>
        <v>0</v>
      </c>
      <c r="J50" s="151">
        <f ca="1">OFFSET(IND!M$25,$E50,0)</f>
        <v>0</v>
      </c>
      <c r="K50" s="151">
        <f ca="1">OFFSET(IND!N$25,$E50,0)</f>
        <v>0</v>
      </c>
      <c r="L50" s="151">
        <f ca="1">OFFSET(IND!O$25,$E50,0)</f>
        <v>0</v>
      </c>
      <c r="M50" s="151">
        <f ca="1">OFFSET(IND!P$25,$E50,0)</f>
        <v>0</v>
      </c>
      <c r="N50" s="151">
        <f ca="1">OFFSET(IND!Q$25,$E50,0)</f>
        <v>0</v>
      </c>
      <c r="O50" s="245">
        <f ca="1">OFFSET(IND!R$25,$E50,0)</f>
        <v>0</v>
      </c>
      <c r="P50" s="151">
        <f ca="1">OFFSET(IND!S$25,$E50,0)</f>
        <v>0</v>
      </c>
      <c r="Q50" s="151">
        <f ca="1">OFFSET(IND!T$25,$E50,0)</f>
        <v>0</v>
      </c>
      <c r="R50" s="151">
        <f ca="1">OFFSET(IND!U$25,$E50,0)</f>
        <v>0</v>
      </c>
      <c r="S50" s="151">
        <f ca="1">OFFSET(IND!V$25,$E50,0)</f>
        <v>0</v>
      </c>
      <c r="T50" s="245">
        <f ca="1">OFFSET(IND!W$25,$E50,0)</f>
        <v>0</v>
      </c>
      <c r="U50" s="151">
        <f ca="1">OFFSET(IND!X$25,$E50,0)</f>
        <v>0</v>
      </c>
      <c r="V50" s="151">
        <f ca="1">OFFSET(IND!Y$25,$E50,0)</f>
        <v>0</v>
      </c>
      <c r="W50" s="151">
        <f ca="1">OFFSET(IND!Z$25,$E50,0)</f>
        <v>0</v>
      </c>
      <c r="X50" s="151">
        <f ca="1">OFFSET(IND!AA$25,$E50,0)</f>
        <v>0</v>
      </c>
      <c r="Y50" s="247">
        <f ca="1">OFFSET(IND!AB$25,$E50,0)</f>
        <v>0</v>
      </c>
      <c r="Z50" s="151">
        <f ca="1">OFFSET(IND!AC$25,$E50,0)</f>
        <v>0</v>
      </c>
      <c r="AA50" s="151">
        <f ca="1">OFFSET(IND!AD$25,$E50,0)</f>
        <v>0</v>
      </c>
      <c r="AB50" s="151">
        <f ca="1">OFFSET(IND!AE$25,$E50,0)</f>
        <v>0</v>
      </c>
      <c r="AC50" s="151">
        <f ca="1">OFFSET(IND!AF$25,$E50,0)</f>
        <v>0</v>
      </c>
      <c r="AD50" s="151">
        <f ca="1">OFFSET(IND!AG$25,$E50,0)</f>
        <v>0</v>
      </c>
      <c r="AE50" s="151">
        <f ca="1">OFFSET(IND!AH$25,$E50,0)</f>
        <v>0</v>
      </c>
      <c r="AF50" s="151">
        <f ca="1">OFFSET(IND!AI$25,$E50,0)</f>
        <v>0</v>
      </c>
      <c r="AG50" s="151">
        <f ca="1">OFFSET(IND!AJ$25,$E50,0)</f>
        <v>0</v>
      </c>
      <c r="AH50" s="151">
        <f ca="1">OFFSET(IND!AK$25,$E50,0)</f>
        <v>0</v>
      </c>
      <c r="AI50" s="151">
        <f ca="1">OFFSET(IND!AL$25,$E50,0)</f>
        <v>0</v>
      </c>
      <c r="AJ50" s="151">
        <f ca="1">OFFSET(IND!AM$25,$E50,0)</f>
        <v>0</v>
      </c>
      <c r="AK50" s="151">
        <f ca="1">OFFSET(IND!AN$25,$E50,0)</f>
        <v>0</v>
      </c>
      <c r="AL50" s="151">
        <f ca="1">OFFSET(IND!AO$25,$E50,0)</f>
        <v>0</v>
      </c>
      <c r="AM50" s="151">
        <f ca="1">OFFSET(IND!AP$25,$E50,0)</f>
        <v>0</v>
      </c>
      <c r="AQ50" s="4"/>
    </row>
    <row r="51" spans="1:43">
      <c r="A51" s="36" t="s">
        <v>363</v>
      </c>
      <c r="B51">
        <v>0.51839999999999997</v>
      </c>
      <c r="E51" s="154">
        <f ca="1">MATCH(F51,IND!$D$26:$D$255,0)</f>
        <v>140</v>
      </c>
      <c r="F51" s="4" t="str">
        <f t="shared" si="0"/>
        <v>INFS</v>
      </c>
      <c r="G51" s="151">
        <f ca="1">OFFSET(IND!J$25,$E51,0)</f>
        <v>2.487856608</v>
      </c>
      <c r="H51" s="151">
        <f ca="1">OFFSET(IND!K$25,$E51,0)</f>
        <v>2.3450820090716453</v>
      </c>
      <c r="I51" s="151">
        <f ca="1">OFFSET(IND!L$25,$E51,0)</f>
        <v>2.2023074101432907</v>
      </c>
      <c r="J51" s="151">
        <f ca="1">OFFSET(IND!M$25,$E51,0)</f>
        <v>0.65368000000000004</v>
      </c>
      <c r="K51" s="151">
        <f ca="1">OFFSET(IND!N$25,$E51,0)</f>
        <v>0.65368000000000004</v>
      </c>
      <c r="L51" s="151">
        <f ca="1">OFFSET(IND!O$25,$E51,0)</f>
        <v>0.65368000000000004</v>
      </c>
      <c r="M51" s="151">
        <f ca="1">OFFSET(IND!P$25,$E51,0)</f>
        <v>0.64568765765561575</v>
      </c>
      <c r="N51" s="151">
        <f ca="1">OFFSET(IND!Q$25,$E51,0)</f>
        <v>0.63769531531123147</v>
      </c>
      <c r="O51" s="245">
        <f ca="1">OFFSET(IND!R$25,$E51,0)</f>
        <v>0.62970297296684696</v>
      </c>
      <c r="P51" s="151">
        <f ca="1">OFFSET(IND!S$25,$E51,0)</f>
        <v>0.62471628230499698</v>
      </c>
      <c r="Q51" s="151">
        <f ca="1">OFFSET(IND!T$25,$E51,0)</f>
        <v>0.619729591643147</v>
      </c>
      <c r="R51" s="151">
        <f ca="1">OFFSET(IND!U$25,$E51,0)</f>
        <v>0.61474290098129702</v>
      </c>
      <c r="S51" s="151">
        <f ca="1">OFFSET(IND!V$25,$E51,0)</f>
        <v>0.60975621031944705</v>
      </c>
      <c r="T51" s="245">
        <f ca="1">OFFSET(IND!W$25,$E51,0)</f>
        <v>0.60476951965759718</v>
      </c>
      <c r="U51" s="151">
        <f ca="1">OFFSET(IND!X$25,$E51,0)</f>
        <v>0.63260431535995154</v>
      </c>
      <c r="V51" s="151">
        <f ca="1">OFFSET(IND!Y$25,$E51,0)</f>
        <v>0.66043911106230591</v>
      </c>
      <c r="W51" s="151">
        <f ca="1">OFFSET(IND!Z$25,$E51,0)</f>
        <v>0.68827390676466038</v>
      </c>
      <c r="X51" s="151">
        <f ca="1">OFFSET(IND!AA$25,$E51,0)</f>
        <v>0.71610870246701486</v>
      </c>
      <c r="Y51" s="247">
        <f ca="1">OFFSET(IND!AB$25,$E51,0)</f>
        <v>0.74394349816936944</v>
      </c>
      <c r="Z51" s="151">
        <f ca="1">OFFSET(IND!AC$25,$E51,0)</f>
        <v>0.76087995782844708</v>
      </c>
      <c r="AA51" s="151">
        <f ca="1">OFFSET(IND!AD$25,$E51,0)</f>
        <v>0.77781641748752472</v>
      </c>
      <c r="AB51" s="151">
        <f ca="1">OFFSET(IND!AE$25,$E51,0)</f>
        <v>0.79475287714660248</v>
      </c>
      <c r="AC51" s="151">
        <f ca="1">OFFSET(IND!AF$25,$E51,0)</f>
        <v>0.81168933680568023</v>
      </c>
      <c r="AD51" s="151">
        <f ca="1">OFFSET(IND!AG$25,$E51,0)</f>
        <v>0.82862579646475776</v>
      </c>
      <c r="AE51" s="151">
        <f ca="1">OFFSET(IND!AH$25,$E51,0)</f>
        <v>0.84862267784505074</v>
      </c>
      <c r="AF51" s="151">
        <f ca="1">OFFSET(IND!AI$25,$E51,0)</f>
        <v>0.86861955922534362</v>
      </c>
      <c r="AG51" s="151">
        <f ca="1">OFFSET(IND!AJ$25,$E51,0)</f>
        <v>0.8886164406056366</v>
      </c>
      <c r="AH51" s="151">
        <f ca="1">OFFSET(IND!AK$25,$E51,0)</f>
        <v>0.90861332198592959</v>
      </c>
      <c r="AI51" s="151">
        <f ca="1">OFFSET(IND!AL$25,$E51,0)</f>
        <v>0.92861020336622235</v>
      </c>
      <c r="AJ51" s="151">
        <f ca="1">OFFSET(IND!AM$25,$E51,0)</f>
        <v>0.9587244205280967</v>
      </c>
      <c r="AK51" s="151">
        <f ca="1">OFFSET(IND!AN$25,$E51,0)</f>
        <v>1.003508718790719</v>
      </c>
      <c r="AL51" s="151">
        <f ca="1">OFFSET(IND!AO$25,$E51,0)</f>
        <v>1.0759622206984247</v>
      </c>
      <c r="AM51" s="151">
        <f ca="1">OFFSET(IND!AP$25,$E51,0)</f>
        <v>1.1508607361229215</v>
      </c>
      <c r="AQ51" s="4"/>
    </row>
    <row r="52" spans="1:43">
      <c r="A52" s="36" t="s">
        <v>364</v>
      </c>
      <c r="B52">
        <v>0.24189876324029999</v>
      </c>
      <c r="E52" s="154">
        <f ca="1">MATCH(F52,IND!$D$26:$D$255,0)</f>
        <v>209</v>
      </c>
      <c r="F52" s="4" t="str">
        <f t="shared" si="0"/>
        <v>IOTA</v>
      </c>
      <c r="G52" s="151">
        <f ca="1">OFFSET(IND!J$25,$E52,0)</f>
        <v>0.22789646617646991</v>
      </c>
      <c r="H52" s="151">
        <f ca="1">OFFSET(IND!K$25,$E52,0)</f>
        <v>0.23138592271264422</v>
      </c>
      <c r="I52" s="151">
        <f ca="1">OFFSET(IND!L$25,$E52,0)</f>
        <v>0.23487537924881849</v>
      </c>
      <c r="J52" s="151">
        <f ca="1">OFFSET(IND!M$25,$E52,0)</f>
        <v>0.12355272</v>
      </c>
      <c r="K52" s="151">
        <f ca="1">OFFSET(IND!N$25,$E52,0)</f>
        <v>0.12355272</v>
      </c>
      <c r="L52" s="151">
        <f ca="1">OFFSET(IND!O$25,$E52,0)</f>
        <v>0.12355272</v>
      </c>
      <c r="M52" s="151">
        <f ca="1">OFFSET(IND!P$25,$E52,0)</f>
        <v>0.12440215295428267</v>
      </c>
      <c r="N52" s="151">
        <f ca="1">OFFSET(IND!Q$25,$E52,0)</f>
        <v>0.12525158590856536</v>
      </c>
      <c r="O52" s="245">
        <f ca="1">OFFSET(IND!R$25,$E52,0)</f>
        <v>0.12610101886284805</v>
      </c>
      <c r="P52" s="151">
        <f ca="1">OFFSET(IND!S$25,$E52,0)</f>
        <v>0.12873607907477069</v>
      </c>
      <c r="Q52" s="151">
        <f ca="1">OFFSET(IND!T$25,$E52,0)</f>
        <v>0.13137113928669336</v>
      </c>
      <c r="R52" s="151">
        <f ca="1">OFFSET(IND!U$25,$E52,0)</f>
        <v>0.134006199498616</v>
      </c>
      <c r="S52" s="151">
        <f ca="1">OFFSET(IND!V$25,$E52,0)</f>
        <v>0.13664125971053864</v>
      </c>
      <c r="T52" s="245">
        <f ca="1">OFFSET(IND!W$25,$E52,0)</f>
        <v>0.13927631992246126</v>
      </c>
      <c r="U52" s="151">
        <f ca="1">OFFSET(IND!X$25,$E52,0)</f>
        <v>0.14287851843236693</v>
      </c>
      <c r="V52" s="151">
        <f ca="1">OFFSET(IND!Y$25,$E52,0)</f>
        <v>0.14648071694227263</v>
      </c>
      <c r="W52" s="151">
        <f ca="1">OFFSET(IND!Z$25,$E52,0)</f>
        <v>0.15008291545217831</v>
      </c>
      <c r="X52" s="151">
        <f ca="1">OFFSET(IND!AA$25,$E52,0)</f>
        <v>0.15368511396208398</v>
      </c>
      <c r="Y52" s="247">
        <f ca="1">OFFSET(IND!AB$25,$E52,0)</f>
        <v>0.15728731247198974</v>
      </c>
      <c r="Z52" s="151">
        <f ca="1">OFFSET(IND!AC$25,$E52,0)</f>
        <v>0.16115781355448447</v>
      </c>
      <c r="AA52" s="151">
        <f ca="1">OFFSET(IND!AD$25,$E52,0)</f>
        <v>0.1650283146369792</v>
      </c>
      <c r="AB52" s="151">
        <f ca="1">OFFSET(IND!AE$25,$E52,0)</f>
        <v>0.16889881571947393</v>
      </c>
      <c r="AC52" s="151">
        <f ca="1">OFFSET(IND!AF$25,$E52,0)</f>
        <v>0.17276931680196866</v>
      </c>
      <c r="AD52" s="151">
        <f ca="1">OFFSET(IND!AG$25,$E52,0)</f>
        <v>0.1766398178844634</v>
      </c>
      <c r="AE52" s="151">
        <f ca="1">OFFSET(IND!AH$25,$E52,0)</f>
        <v>0.18103555396028553</v>
      </c>
      <c r="AF52" s="151">
        <f ca="1">OFFSET(IND!AI$25,$E52,0)</f>
        <v>0.18543129003610764</v>
      </c>
      <c r="AG52" s="151">
        <f ca="1">OFFSET(IND!AJ$25,$E52,0)</f>
        <v>0.18982702611192978</v>
      </c>
      <c r="AH52" s="151">
        <f ca="1">OFFSET(IND!AK$25,$E52,0)</f>
        <v>0.19422276218775192</v>
      </c>
      <c r="AI52" s="151">
        <f ca="1">OFFSET(IND!AL$25,$E52,0)</f>
        <v>0.198618498263574</v>
      </c>
      <c r="AJ52" s="151">
        <f ca="1">OFFSET(IND!AM$25,$E52,0)</f>
        <v>0.22086036572420684</v>
      </c>
      <c r="AK52" s="151">
        <f ca="1">OFFSET(IND!AN$25,$E52,0)</f>
        <v>0.24425324541872304</v>
      </c>
      <c r="AL52" s="151">
        <f ca="1">OFFSET(IND!AO$25,$E52,0)</f>
        <v>0.28969615720155922</v>
      </c>
      <c r="AM52" s="151">
        <f ca="1">OFFSET(IND!AP$25,$E52,0)</f>
        <v>0.3353309043567077</v>
      </c>
      <c r="AQ52" s="4"/>
    </row>
    <row r="53" spans="1:43">
      <c r="A53" s="36" t="s">
        <v>365</v>
      </c>
      <c r="B53">
        <v>4.5502640185010002</v>
      </c>
      <c r="E53" s="154">
        <f ca="1">MATCH(F53,IND!$D$26:$D$255,0)</f>
        <v>211</v>
      </c>
      <c r="F53" s="4" t="str">
        <f t="shared" si="0"/>
        <v>IOTC</v>
      </c>
      <c r="G53" s="151">
        <f ca="1">OFFSET(IND!J$25,$E53,0)</f>
        <v>4.2868722274366169</v>
      </c>
      <c r="H53" s="151">
        <f ca="1">OFFSET(IND!K$25,$E53,0)</f>
        <v>4.3525110438901793</v>
      </c>
      <c r="I53" s="151">
        <f ca="1">OFFSET(IND!L$25,$E53,0)</f>
        <v>4.4181498603437408</v>
      </c>
      <c r="J53" s="151">
        <f ca="1">OFFSET(IND!M$25,$E53,0)</f>
        <v>2.3241024000000006</v>
      </c>
      <c r="K53" s="151">
        <f ca="1">OFFSET(IND!N$25,$E53,0)</f>
        <v>2.3241024000000006</v>
      </c>
      <c r="L53" s="151">
        <f ca="1">OFFSET(IND!O$25,$E53,0)</f>
        <v>2.3241024000000006</v>
      </c>
      <c r="M53" s="151">
        <f ca="1">OFFSET(IND!P$25,$E53,0)</f>
        <v>2.3400807545654643</v>
      </c>
      <c r="N53" s="151">
        <f ca="1">OFFSET(IND!Q$25,$E53,0)</f>
        <v>2.356059109130928</v>
      </c>
      <c r="O53" s="245">
        <f ca="1">OFFSET(IND!R$25,$E53,0)</f>
        <v>2.3720374636963921</v>
      </c>
      <c r="P53" s="151">
        <f ca="1">OFFSET(IND!S$25,$E53,0)</f>
        <v>2.4216045615528694</v>
      </c>
      <c r="Q53" s="151">
        <f ca="1">OFFSET(IND!T$25,$E53,0)</f>
        <v>2.4711716594093467</v>
      </c>
      <c r="R53" s="151">
        <f ca="1">OFFSET(IND!U$25,$E53,0)</f>
        <v>2.520738757265824</v>
      </c>
      <c r="S53" s="151">
        <f ca="1">OFFSET(IND!V$25,$E53,0)</f>
        <v>2.5703058551223008</v>
      </c>
      <c r="T53" s="245">
        <f ca="1">OFFSET(IND!W$25,$E53,0)</f>
        <v>2.6198729529787772</v>
      </c>
      <c r="U53" s="151">
        <f ca="1">OFFSET(IND!X$25,$E53,0)</f>
        <v>2.6876325150681284</v>
      </c>
      <c r="V53" s="151">
        <f ca="1">OFFSET(IND!Y$25,$E53,0)</f>
        <v>2.75539207715748</v>
      </c>
      <c r="W53" s="151">
        <f ca="1">OFFSET(IND!Z$25,$E53,0)</f>
        <v>2.8231516392468312</v>
      </c>
      <c r="X53" s="151">
        <f ca="1">OFFSET(IND!AA$25,$E53,0)</f>
        <v>2.8909112013361824</v>
      </c>
      <c r="Y53" s="247">
        <f ca="1">OFFSET(IND!AB$25,$E53,0)</f>
        <v>2.9586707634255349</v>
      </c>
      <c r="Z53" s="151">
        <f ca="1">OFFSET(IND!AC$25,$E53,0)</f>
        <v>3.0314772613725536</v>
      </c>
      <c r="AA53" s="151">
        <f ca="1">OFFSET(IND!AD$25,$E53,0)</f>
        <v>3.1042837593195722</v>
      </c>
      <c r="AB53" s="151">
        <f ca="1">OFFSET(IND!AE$25,$E53,0)</f>
        <v>3.1770902572665909</v>
      </c>
      <c r="AC53" s="151">
        <f ca="1">OFFSET(IND!AF$25,$E53,0)</f>
        <v>3.24989675521361</v>
      </c>
      <c r="AD53" s="151">
        <f ca="1">OFFSET(IND!AG$25,$E53,0)</f>
        <v>3.3227032531606291</v>
      </c>
      <c r="AE53" s="151">
        <f ca="1">OFFSET(IND!AH$25,$E53,0)</f>
        <v>3.4053897432968623</v>
      </c>
      <c r="AF53" s="151">
        <f ca="1">OFFSET(IND!AI$25,$E53,0)</f>
        <v>3.4880762334330955</v>
      </c>
      <c r="AG53" s="151">
        <f ca="1">OFFSET(IND!AJ$25,$E53,0)</f>
        <v>3.5707627235693287</v>
      </c>
      <c r="AH53" s="151">
        <f ca="1">OFFSET(IND!AK$25,$E53,0)</f>
        <v>3.6534492137055623</v>
      </c>
      <c r="AI53" s="151">
        <f ca="1">OFFSET(IND!AL$25,$E53,0)</f>
        <v>3.7361357038417946</v>
      </c>
      <c r="AJ53" s="151">
        <f ca="1">OFFSET(IND!AM$25,$E53,0)</f>
        <v>4.1545188648579066</v>
      </c>
      <c r="AK53" s="151">
        <f ca="1">OFFSET(IND!AN$25,$E53,0)</f>
        <v>4.5945532715543873</v>
      </c>
      <c r="AL53" s="151">
        <f ca="1">OFFSET(IND!AO$25,$E53,0)</f>
        <v>5.4493622983202723</v>
      </c>
      <c r="AM53" s="151">
        <f ca="1">OFFSET(IND!AP$25,$E53,0)</f>
        <v>6.3077798660328552</v>
      </c>
      <c r="AQ53" s="4"/>
    </row>
    <row r="54" spans="1:43">
      <c r="A54" s="36" t="s">
        <v>366</v>
      </c>
      <c r="B54">
        <v>0.43799389606880001</v>
      </c>
      <c r="E54" s="154">
        <f ca="1">MATCH(F54,IND!$D$26:$D$255,0)</f>
        <v>216</v>
      </c>
      <c r="F54" s="4" t="str">
        <f t="shared" si="0"/>
        <v>IOTE</v>
      </c>
      <c r="G54" s="151">
        <f ca="1">OFFSET(IND!J$25,$E54,0)</f>
        <v>0.41264064265496897</v>
      </c>
      <c r="H54" s="151">
        <f ca="1">OFFSET(IND!K$25,$E54,0)</f>
        <v>0.41895882569554571</v>
      </c>
      <c r="I54" s="151">
        <f ca="1">OFFSET(IND!L$25,$E54,0)</f>
        <v>0.4252770087361224</v>
      </c>
      <c r="J54" s="151">
        <f ca="1">OFFSET(IND!M$25,$E54,0)</f>
        <v>0.22371068160000002</v>
      </c>
      <c r="K54" s="151">
        <f ca="1">OFFSET(IND!N$25,$E54,0)</f>
        <v>0.22371068160000002</v>
      </c>
      <c r="L54" s="151">
        <f ca="1">OFFSET(IND!O$25,$E54,0)</f>
        <v>0.22371068160000002</v>
      </c>
      <c r="M54" s="151">
        <f ca="1">OFFSET(IND!P$25,$E54,0)</f>
        <v>0.22524870702895114</v>
      </c>
      <c r="N54" s="151">
        <f ca="1">OFFSET(IND!Q$25,$E54,0)</f>
        <v>0.22678673245790226</v>
      </c>
      <c r="O54" s="245">
        <f ca="1">OFFSET(IND!R$25,$E54,0)</f>
        <v>0.22832475788685344</v>
      </c>
      <c r="P54" s="151">
        <f ca="1">OFFSET(IND!S$25,$E54,0)</f>
        <v>0.23309592857468822</v>
      </c>
      <c r="Q54" s="151">
        <f ca="1">OFFSET(IND!T$25,$E54,0)</f>
        <v>0.237867099262523</v>
      </c>
      <c r="R54" s="151">
        <f ca="1">OFFSET(IND!U$25,$E54,0)</f>
        <v>0.24263826995035775</v>
      </c>
      <c r="S54" s="151">
        <f ca="1">OFFSET(IND!V$25,$E54,0)</f>
        <v>0.24740944063819251</v>
      </c>
      <c r="T54" s="245">
        <f ca="1">OFFSET(IND!W$25,$E54,0)</f>
        <v>0.2521806113260272</v>
      </c>
      <c r="U54" s="151">
        <f ca="1">OFFSET(IND!X$25,$E54,0)</f>
        <v>0.25870293057492361</v>
      </c>
      <c r="V54" s="151">
        <f ca="1">OFFSET(IND!Y$25,$E54,0)</f>
        <v>0.26522524982382001</v>
      </c>
      <c r="W54" s="151">
        <f ca="1">OFFSET(IND!Z$25,$E54,0)</f>
        <v>0.27174756907271636</v>
      </c>
      <c r="X54" s="151">
        <f ca="1">OFFSET(IND!AA$25,$E54,0)</f>
        <v>0.27826988832161276</v>
      </c>
      <c r="Y54" s="247">
        <f ca="1">OFFSET(IND!AB$25,$E54,0)</f>
        <v>0.28479220757050927</v>
      </c>
      <c r="Z54" s="151">
        <f ca="1">OFFSET(IND!AC$25,$E54,0)</f>
        <v>0.2918003287620009</v>
      </c>
      <c r="AA54" s="151">
        <f ca="1">OFFSET(IND!AD$25,$E54,0)</f>
        <v>0.29880844995349254</v>
      </c>
      <c r="AB54" s="151">
        <f ca="1">OFFSET(IND!AE$25,$E54,0)</f>
        <v>0.30581657114498417</v>
      </c>
      <c r="AC54" s="151">
        <f ca="1">OFFSET(IND!AF$25,$E54,0)</f>
        <v>0.31282469233647586</v>
      </c>
      <c r="AD54" s="151">
        <f ca="1">OFFSET(IND!AG$25,$E54,0)</f>
        <v>0.31983281352796755</v>
      </c>
      <c r="AE54" s="151">
        <f ca="1">OFFSET(IND!AH$25,$E54,0)</f>
        <v>0.3277919512438825</v>
      </c>
      <c r="AF54" s="151">
        <f ca="1">OFFSET(IND!AI$25,$E54,0)</f>
        <v>0.33575108895979744</v>
      </c>
      <c r="AG54" s="151">
        <f ca="1">OFFSET(IND!AJ$25,$E54,0)</f>
        <v>0.34371022667571238</v>
      </c>
      <c r="AH54" s="151">
        <f ca="1">OFFSET(IND!AK$25,$E54,0)</f>
        <v>0.35166936439162733</v>
      </c>
      <c r="AI54" s="151">
        <f ca="1">OFFSET(IND!AL$25,$E54,0)</f>
        <v>0.35962850210754216</v>
      </c>
      <c r="AJ54" s="151">
        <f ca="1">OFFSET(IND!AM$25,$E54,0)</f>
        <v>0.399900730267918</v>
      </c>
      <c r="AK54" s="151">
        <f ca="1">OFFSET(IND!AN$25,$E54,0)</f>
        <v>0.44225703825569052</v>
      </c>
      <c r="AL54" s="151">
        <f ca="1">OFFSET(IND!AO$25,$E54,0)</f>
        <v>0.52453822776594139</v>
      </c>
      <c r="AM54" s="151">
        <f ca="1">OFFSET(IND!AP$25,$E54,0)</f>
        <v>0.60716676391408886</v>
      </c>
      <c r="AQ54" s="4"/>
    </row>
    <row r="55" spans="1:43">
      <c r="A55" s="36" t="s">
        <v>367</v>
      </c>
      <c r="B55">
        <v>1.959977536374</v>
      </c>
      <c r="E55" s="154">
        <f ca="1">MATCH(F55,IND!$D$26:$D$255,0)</f>
        <v>214</v>
      </c>
      <c r="F55" s="4" t="str">
        <f t="shared" si="0"/>
        <v>IOTF</v>
      </c>
      <c r="G55" s="151">
        <f ca="1">OFFSET(IND!J$25,$E55,0)</f>
        <v>1.8465243407674456</v>
      </c>
      <c r="H55" s="151">
        <f ca="1">OFFSET(IND!K$25,$E55,0)</f>
        <v>1.8747975585939411</v>
      </c>
      <c r="I55" s="151">
        <f ca="1">OFFSET(IND!L$25,$E55,0)</f>
        <v>1.9030707764204364</v>
      </c>
      <c r="J55" s="151">
        <f ca="1">OFFSET(IND!M$25,$E55,0)</f>
        <v>1.0010822400000001</v>
      </c>
      <c r="K55" s="151">
        <f ca="1">OFFSET(IND!N$25,$E55,0)</f>
        <v>1.0010822400000001</v>
      </c>
      <c r="L55" s="151">
        <f ca="1">OFFSET(IND!O$25,$E55,0)</f>
        <v>1.0010822400000001</v>
      </c>
      <c r="M55" s="151">
        <f ca="1">OFFSET(IND!P$25,$E55,0)</f>
        <v>1.0079647452544624</v>
      </c>
      <c r="N55" s="151">
        <f ca="1">OFFSET(IND!Q$25,$E55,0)</f>
        <v>1.0148472505089248</v>
      </c>
      <c r="O55" s="245">
        <f ca="1">OFFSET(IND!R$25,$E55,0)</f>
        <v>1.0217297557633873</v>
      </c>
      <c r="P55" s="151">
        <f ca="1">OFFSET(IND!S$25,$E55,0)</f>
        <v>1.0430802527778311</v>
      </c>
      <c r="Q55" s="151">
        <f ca="1">OFFSET(IND!T$25,$E55,0)</f>
        <v>1.0644307497922749</v>
      </c>
      <c r="R55" s="151">
        <f ca="1">OFFSET(IND!U$25,$E55,0)</f>
        <v>1.0857812468067185</v>
      </c>
      <c r="S55" s="151">
        <f ca="1">OFFSET(IND!V$25,$E55,0)</f>
        <v>1.1071317438211621</v>
      </c>
      <c r="T55" s="245">
        <f ca="1">OFFSET(IND!W$25,$E55,0)</f>
        <v>1.1284822408356054</v>
      </c>
      <c r="U55" s="151">
        <f ca="1">OFFSET(IND!X$25,$E55,0)</f>
        <v>1.1576689471519135</v>
      </c>
      <c r="V55" s="151">
        <f ca="1">OFFSET(IND!Y$25,$E55,0)</f>
        <v>1.1868556534682217</v>
      </c>
      <c r="W55" s="151">
        <f ca="1">OFFSET(IND!Z$25,$E55,0)</f>
        <v>1.2160423597845298</v>
      </c>
      <c r="X55" s="151">
        <f ca="1">OFFSET(IND!AA$25,$E55,0)</f>
        <v>1.2452290661008378</v>
      </c>
      <c r="Y55" s="247">
        <f ca="1">OFFSET(IND!AB$25,$E55,0)</f>
        <v>1.2744157724171465</v>
      </c>
      <c r="Z55" s="151">
        <f ca="1">OFFSET(IND!AC$25,$E55,0)</f>
        <v>1.3057763923499675</v>
      </c>
      <c r="AA55" s="151">
        <f ca="1">OFFSET(IND!AD$25,$E55,0)</f>
        <v>1.3371370122827884</v>
      </c>
      <c r="AB55" s="151">
        <f ca="1">OFFSET(IND!AE$25,$E55,0)</f>
        <v>1.3684976322156093</v>
      </c>
      <c r="AC55" s="151">
        <f ca="1">OFFSET(IND!AF$25,$E55,0)</f>
        <v>1.3998582521484304</v>
      </c>
      <c r="AD55" s="151">
        <f ca="1">OFFSET(IND!AG$25,$E55,0)</f>
        <v>1.4312188720812515</v>
      </c>
      <c r="AE55" s="151">
        <f ca="1">OFFSET(IND!AH$25,$E55,0)</f>
        <v>1.4668351929298158</v>
      </c>
      <c r="AF55" s="151">
        <f ca="1">OFFSET(IND!AI$25,$E55,0)</f>
        <v>1.50245151377838</v>
      </c>
      <c r="AG55" s="151">
        <f ca="1">OFFSET(IND!AJ$25,$E55,0)</f>
        <v>1.5380678346269443</v>
      </c>
      <c r="AH55" s="151">
        <f ca="1">OFFSET(IND!AK$25,$E55,0)</f>
        <v>1.5736841554755088</v>
      </c>
      <c r="AI55" s="151">
        <f ca="1">OFFSET(IND!AL$25,$E55,0)</f>
        <v>1.6093004763240726</v>
      </c>
      <c r="AJ55" s="151">
        <f ca="1">OFFSET(IND!AM$25,$E55,0)</f>
        <v>1.7895145460691451</v>
      </c>
      <c r="AK55" s="151">
        <f ca="1">OFFSET(IND!AN$25,$E55,0)</f>
        <v>1.9790546582142827</v>
      </c>
      <c r="AL55" s="151">
        <f ca="1">OFFSET(IND!AO$25,$E55,0)</f>
        <v>2.3472544997044906</v>
      </c>
      <c r="AM55" s="151">
        <f ca="1">OFFSET(IND!AP$25,$E55,0)</f>
        <v>2.7170086815946966</v>
      </c>
      <c r="AQ55" s="4"/>
    </row>
    <row r="56" spans="1:43">
      <c r="A56" s="36" t="s">
        <v>368</v>
      </c>
      <c r="B56">
        <v>3.382156358499</v>
      </c>
      <c r="E56" s="154">
        <f ca="1">MATCH(F56,IND!$D$26:$D$255,0)</f>
        <v>212</v>
      </c>
      <c r="F56" s="4" t="str">
        <f t="shared" si="0"/>
        <v>IOTH</v>
      </c>
      <c r="G56" s="151">
        <f ca="1">OFFSET(IND!J$25,$E56,0)</f>
        <v>3.1863804172999206</v>
      </c>
      <c r="H56" s="151">
        <f ca="1">OFFSET(IND!K$25,$E56,0)</f>
        <v>3.2351689578175926</v>
      </c>
      <c r="I56" s="151">
        <f ca="1">OFFSET(IND!L$25,$E56,0)</f>
        <v>3.2839574983352642</v>
      </c>
      <c r="J56" s="151">
        <f ca="1">OFFSET(IND!M$25,$E56,0)</f>
        <v>1.7274772800000002</v>
      </c>
      <c r="K56" s="151">
        <f ca="1">OFFSET(IND!N$25,$E56,0)</f>
        <v>1.7274772800000002</v>
      </c>
      <c r="L56" s="151">
        <f ca="1">OFFSET(IND!O$25,$E56,0)</f>
        <v>1.7274772800000002</v>
      </c>
      <c r="M56" s="151">
        <f ca="1">OFFSET(IND!P$25,$E56,0)</f>
        <v>1.739353798213493</v>
      </c>
      <c r="N56" s="151">
        <f ca="1">OFFSET(IND!Q$25,$E56,0)</f>
        <v>1.751230316426986</v>
      </c>
      <c r="O56" s="245">
        <f ca="1">OFFSET(IND!R$25,$E56,0)</f>
        <v>1.7631068346404795</v>
      </c>
      <c r="P56" s="151">
        <f ca="1">OFFSET(IND!S$25,$E56,0)</f>
        <v>1.7999494605861355</v>
      </c>
      <c r="Q56" s="151">
        <f ca="1">OFFSET(IND!T$25,$E56,0)</f>
        <v>1.8367920865317915</v>
      </c>
      <c r="R56" s="151">
        <f ca="1">OFFSET(IND!U$25,$E56,0)</f>
        <v>1.8736347124774473</v>
      </c>
      <c r="S56" s="151">
        <f ca="1">OFFSET(IND!V$25,$E56,0)</f>
        <v>1.9104773384231031</v>
      </c>
      <c r="T56" s="245">
        <f ca="1">OFFSET(IND!W$25,$E56,0)</f>
        <v>1.9473199643687584</v>
      </c>
      <c r="U56" s="151">
        <f ca="1">OFFSET(IND!X$25,$E56,0)</f>
        <v>1.9976848295365339</v>
      </c>
      <c r="V56" s="151">
        <f ca="1">OFFSET(IND!Y$25,$E56,0)</f>
        <v>2.0480496947043094</v>
      </c>
      <c r="W56" s="151">
        <f ca="1">OFFSET(IND!Z$25,$E56,0)</f>
        <v>2.0984145598720847</v>
      </c>
      <c r="X56" s="151">
        <f ca="1">OFFSET(IND!AA$25,$E56,0)</f>
        <v>2.1487794250398604</v>
      </c>
      <c r="Y56" s="247">
        <f ca="1">OFFSET(IND!AB$25,$E56,0)</f>
        <v>2.199144290207637</v>
      </c>
      <c r="Z56" s="151">
        <f ca="1">OFFSET(IND!AC$25,$E56,0)</f>
        <v>2.2532604819209805</v>
      </c>
      <c r="AA56" s="151">
        <f ca="1">OFFSET(IND!AD$25,$E56,0)</f>
        <v>2.307376673634324</v>
      </c>
      <c r="AB56" s="151">
        <f ca="1">OFFSET(IND!AE$25,$E56,0)</f>
        <v>2.3614928653476674</v>
      </c>
      <c r="AC56" s="151">
        <f ca="1">OFFSET(IND!AF$25,$E56,0)</f>
        <v>2.4156090570610109</v>
      </c>
      <c r="AD56" s="151">
        <f ca="1">OFFSET(IND!AG$25,$E56,0)</f>
        <v>2.4697252487743544</v>
      </c>
      <c r="AE56" s="151">
        <f ca="1">OFFSET(IND!AH$25,$E56,0)</f>
        <v>2.5311851195069379</v>
      </c>
      <c r="AF56" s="151">
        <f ca="1">OFFSET(IND!AI$25,$E56,0)</f>
        <v>2.5926449902395214</v>
      </c>
      <c r="AG56" s="151">
        <f ca="1">OFFSET(IND!AJ$25,$E56,0)</f>
        <v>2.654104860972105</v>
      </c>
      <c r="AH56" s="151">
        <f ca="1">OFFSET(IND!AK$25,$E56,0)</f>
        <v>2.7155647317046885</v>
      </c>
      <c r="AI56" s="151">
        <f ca="1">OFFSET(IND!AL$25,$E56,0)</f>
        <v>2.7770246024372711</v>
      </c>
      <c r="AJ56" s="151">
        <f ca="1">OFFSET(IND!AM$25,$E56,0)</f>
        <v>3.0880037593754146</v>
      </c>
      <c r="AK56" s="151">
        <f ca="1">OFFSET(IND!AN$25,$E56,0)</f>
        <v>3.4150760260648902</v>
      </c>
      <c r="AL56" s="151">
        <f ca="1">OFFSET(IND!AO$25,$E56,0)</f>
        <v>4.0504452647339688</v>
      </c>
      <c r="AM56" s="151">
        <f ca="1">OFFSET(IND!AP$25,$E56,0)</f>
        <v>4.6884966883615808</v>
      </c>
      <c r="AQ56" s="4"/>
    </row>
    <row r="57" spans="1:43">
      <c r="A57" s="36" t="s">
        <v>369</v>
      </c>
      <c r="B57">
        <v>4.2714054259280001</v>
      </c>
      <c r="E57" s="154">
        <f ca="1">MATCH(F57,IND!$D$26:$D$255,0)</f>
        <v>208</v>
      </c>
      <c r="F57" s="4" t="str">
        <f t="shared" si="0"/>
        <v>IOTK</v>
      </c>
      <c r="G57" s="151">
        <f ca="1">OFFSET(IND!J$25,$E57,0)</f>
        <v>4.0241553496851505</v>
      </c>
      <c r="H57" s="151">
        <f ca="1">OFFSET(IND!K$25,$E57,0)</f>
        <v>4.0857715538463255</v>
      </c>
      <c r="I57" s="151">
        <f ca="1">OFFSET(IND!L$25,$E57,0)</f>
        <v>4.1473877580074996</v>
      </c>
      <c r="J57" s="151">
        <f ca="1">OFFSET(IND!M$25,$E57,0)</f>
        <v>2.1816720000000003</v>
      </c>
      <c r="K57" s="151">
        <f ca="1">OFFSET(IND!N$25,$E57,0)</f>
        <v>2.1816720000000003</v>
      </c>
      <c r="L57" s="151">
        <f ca="1">OFFSET(IND!O$25,$E57,0)</f>
        <v>2.1816720000000003</v>
      </c>
      <c r="M57" s="151">
        <f ca="1">OFFSET(IND!P$25,$E57,0)</f>
        <v>2.1966711363382028</v>
      </c>
      <c r="N57" s="151">
        <f ca="1">OFFSET(IND!Q$25,$E57,0)</f>
        <v>2.2116702726764057</v>
      </c>
      <c r="O57" s="245">
        <f ca="1">OFFSET(IND!R$25,$E57,0)</f>
        <v>2.2266694090146091</v>
      </c>
      <c r="P57" s="151">
        <f ca="1">OFFSET(IND!S$25,$E57,0)</f>
        <v>2.273198834531633</v>
      </c>
      <c r="Q57" s="151">
        <f ca="1">OFFSET(IND!T$25,$E57,0)</f>
        <v>2.3197282600486568</v>
      </c>
      <c r="R57" s="151">
        <f ca="1">OFFSET(IND!U$25,$E57,0)</f>
        <v>2.3662576855656807</v>
      </c>
      <c r="S57" s="151">
        <f ca="1">OFFSET(IND!V$25,$E57,0)</f>
        <v>2.4127871110827046</v>
      </c>
      <c r="T57" s="245">
        <f ca="1">OFFSET(IND!W$25,$E57,0)</f>
        <v>2.459316536599728</v>
      </c>
      <c r="U57" s="151">
        <f ca="1">OFFSET(IND!X$25,$E57,0)</f>
        <v>2.5229235185221248</v>
      </c>
      <c r="V57" s="151">
        <f ca="1">OFFSET(IND!Y$25,$E57,0)</f>
        <v>2.586530500444522</v>
      </c>
      <c r="W57" s="151">
        <f ca="1">OFFSET(IND!Z$25,$E57,0)</f>
        <v>2.6501374823669188</v>
      </c>
      <c r="X57" s="151">
        <f ca="1">OFFSET(IND!AA$25,$E57,0)</f>
        <v>2.7137444642893156</v>
      </c>
      <c r="Y57" s="247">
        <f ca="1">OFFSET(IND!AB$25,$E57,0)</f>
        <v>2.7773514462117137</v>
      </c>
      <c r="Z57" s="151">
        <f ca="1">OFFSET(IND!AC$25,$E57,0)</f>
        <v>2.8456960673390221</v>
      </c>
      <c r="AA57" s="151">
        <f ca="1">OFFSET(IND!AD$25,$E57,0)</f>
        <v>2.9140406884663306</v>
      </c>
      <c r="AB57" s="151">
        <f ca="1">OFFSET(IND!AE$25,$E57,0)</f>
        <v>2.982385309593639</v>
      </c>
      <c r="AC57" s="151">
        <f ca="1">OFFSET(IND!AF$25,$E57,0)</f>
        <v>3.0507299307209479</v>
      </c>
      <c r="AD57" s="151">
        <f ca="1">OFFSET(IND!AG$25,$E57,0)</f>
        <v>3.1190745518482568</v>
      </c>
      <c r="AE57" s="151">
        <f ca="1">OFFSET(IND!AH$25,$E57,0)</f>
        <v>3.1966936792621334</v>
      </c>
      <c r="AF57" s="151">
        <f ca="1">OFFSET(IND!AI$25,$E57,0)</f>
        <v>3.2743128066760101</v>
      </c>
      <c r="AG57" s="151">
        <f ca="1">OFFSET(IND!AJ$25,$E57,0)</f>
        <v>3.3519319340898868</v>
      </c>
      <c r="AH57" s="151">
        <f ca="1">OFFSET(IND!AK$25,$E57,0)</f>
        <v>3.4295510615037634</v>
      </c>
      <c r="AI57" s="151">
        <f ca="1">OFFSET(IND!AL$25,$E57,0)</f>
        <v>3.5071701889176392</v>
      </c>
      <c r="AJ57" s="151">
        <f ca="1">OFFSET(IND!AM$25,$E57,0)</f>
        <v>3.8999131367586397</v>
      </c>
      <c r="AK57" s="151">
        <f ca="1">OFFSET(IND!AN$25,$E57,0)</f>
        <v>4.3129804543287795</v>
      </c>
      <c r="AL57" s="151">
        <f ca="1">OFFSET(IND!AO$25,$E57,0)</f>
        <v>5.1154033247850821</v>
      </c>
      <c r="AM57" s="151">
        <f ca="1">OFFSET(IND!AP$25,$E57,0)</f>
        <v>5.9212135901962135</v>
      </c>
      <c r="AQ57" s="4"/>
    </row>
    <row r="58" spans="1:43">
      <c r="A58" s="36" t="s">
        <v>370</v>
      </c>
      <c r="B58">
        <v>1.0716137343180001</v>
      </c>
      <c r="E58" s="154">
        <f ca="1">MATCH(F58,IND!$D$26:$D$255,0)</f>
        <v>210</v>
      </c>
      <c r="F58" s="4" t="str">
        <f t="shared" si="0"/>
        <v>IOTL</v>
      </c>
      <c r="G58" s="151">
        <f ca="1">OFFSET(IND!J$25,$E58,0)</f>
        <v>1.0095834302163471</v>
      </c>
      <c r="H58" s="151">
        <f ca="1">OFFSET(IND!K$25,$E58,0)</f>
        <v>1.0250417545970936</v>
      </c>
      <c r="I58" s="151">
        <f ca="1">OFFSET(IND!L$25,$E58,0)</f>
        <v>1.04050007897784</v>
      </c>
      <c r="J58" s="151">
        <f ca="1">OFFSET(IND!M$25,$E58,0)</f>
        <v>0.54733968</v>
      </c>
      <c r="K58" s="151">
        <f ca="1">OFFSET(IND!N$25,$E58,0)</f>
        <v>0.54733968</v>
      </c>
      <c r="L58" s="151">
        <f ca="1">OFFSET(IND!O$25,$E58,0)</f>
        <v>0.54733968</v>
      </c>
      <c r="M58" s="151">
        <f ca="1">OFFSET(IND!P$25,$E58,0)</f>
        <v>0.55110267575904548</v>
      </c>
      <c r="N58" s="151">
        <f ca="1">OFFSET(IND!Q$25,$E58,0)</f>
        <v>0.55486567151809096</v>
      </c>
      <c r="O58" s="245">
        <f ca="1">OFFSET(IND!R$25,$E58,0)</f>
        <v>0.55862866727713656</v>
      </c>
      <c r="P58" s="151">
        <f ca="1">OFFSET(IND!S$25,$E58,0)</f>
        <v>0.57030200812446452</v>
      </c>
      <c r="Q58" s="151">
        <f ca="1">OFFSET(IND!T$25,$E58,0)</f>
        <v>0.58197534897179248</v>
      </c>
      <c r="R58" s="151">
        <f ca="1">OFFSET(IND!U$25,$E58,0)</f>
        <v>0.59364868981912045</v>
      </c>
      <c r="S58" s="151">
        <f ca="1">OFFSET(IND!V$25,$E58,0)</f>
        <v>0.60532203066644841</v>
      </c>
      <c r="T58" s="245">
        <f ca="1">OFFSET(IND!W$25,$E58,0)</f>
        <v>0.61699537151377626</v>
      </c>
      <c r="U58" s="151">
        <f ca="1">OFFSET(IND!X$25,$E58,0)</f>
        <v>0.63295314386964385</v>
      </c>
      <c r="V58" s="151">
        <f ca="1">OFFSET(IND!Y$25,$E58,0)</f>
        <v>0.64891091622551156</v>
      </c>
      <c r="W58" s="151">
        <f ca="1">OFFSET(IND!Z$25,$E58,0)</f>
        <v>0.66486868858137915</v>
      </c>
      <c r="X58" s="151">
        <f ca="1">OFFSET(IND!AA$25,$E58,0)</f>
        <v>0.68082646093724675</v>
      </c>
      <c r="Y58" s="247">
        <f ca="1">OFFSET(IND!AB$25,$E58,0)</f>
        <v>0.69678423329311467</v>
      </c>
      <c r="Z58" s="151">
        <f ca="1">OFFSET(IND!AC$25,$E58,0)</f>
        <v>0.71393058850028712</v>
      </c>
      <c r="AA58" s="151">
        <f ca="1">OFFSET(IND!AD$25,$E58,0)</f>
        <v>0.73107694370745957</v>
      </c>
      <c r="AB58" s="151">
        <f ca="1">OFFSET(IND!AE$25,$E58,0)</f>
        <v>0.74822329891463202</v>
      </c>
      <c r="AC58" s="151">
        <f ca="1">OFFSET(IND!AF$25,$E58,0)</f>
        <v>0.76536965412180447</v>
      </c>
      <c r="AD58" s="151">
        <f ca="1">OFFSET(IND!AG$25,$E58,0)</f>
        <v>0.78251600932897691</v>
      </c>
      <c r="AE58" s="151">
        <f ca="1">OFFSET(IND!AH$25,$E58,0)</f>
        <v>0.80198916036203338</v>
      </c>
      <c r="AF58" s="151">
        <f ca="1">OFFSET(IND!AI$25,$E58,0)</f>
        <v>0.82146231139508985</v>
      </c>
      <c r="AG58" s="151">
        <f ca="1">OFFSET(IND!AJ$25,$E58,0)</f>
        <v>0.84093546242814632</v>
      </c>
      <c r="AH58" s="151">
        <f ca="1">OFFSET(IND!AK$25,$E58,0)</f>
        <v>0.8604086134612029</v>
      </c>
      <c r="AI58" s="151">
        <f ca="1">OFFSET(IND!AL$25,$E58,0)</f>
        <v>0.87988176449425914</v>
      </c>
      <c r="AJ58" s="151">
        <f ca="1">OFFSET(IND!AM$25,$E58,0)</f>
        <v>0.97841344083861792</v>
      </c>
      <c r="AK58" s="151">
        <f ca="1">OFFSET(IND!AN$25,$E58,0)</f>
        <v>1.0820441119098416</v>
      </c>
      <c r="AL58" s="151">
        <f ca="1">OFFSET(IND!AO$25,$E58,0)</f>
        <v>1.2833566268709513</v>
      </c>
      <c r="AM58" s="151">
        <f ca="1">OFFSET(IND!AP$25,$E58,0)</f>
        <v>1.4855189742865313</v>
      </c>
      <c r="AQ58" s="4"/>
    </row>
    <row r="59" spans="1:43">
      <c r="A59" s="36" t="s">
        <v>371</v>
      </c>
      <c r="B59">
        <v>13.06049710462</v>
      </c>
      <c r="E59" s="154">
        <f ca="1">MATCH(F59,IND!$D$26:$D$255,0)</f>
        <v>215</v>
      </c>
      <c r="F59" s="4" t="str">
        <f t="shared" si="0"/>
        <v>IOTO</v>
      </c>
      <c r="G59" s="151">
        <f ca="1">OFFSET(IND!J$25,$E59,0)</f>
        <v>12.304490923310874</v>
      </c>
      <c r="H59" s="151">
        <f ca="1">OFFSET(IND!K$25,$E59,0)</f>
        <v>12.492892204809452</v>
      </c>
      <c r="I59" s="151">
        <f ca="1">OFFSET(IND!L$25,$E59,0)</f>
        <v>12.68129348630803</v>
      </c>
      <c r="J59" s="151">
        <f ca="1">OFFSET(IND!M$25,$E59,0)</f>
        <v>6.6708069120000006</v>
      </c>
      <c r="K59" s="151">
        <f ca="1">OFFSET(IND!N$25,$E59,0)</f>
        <v>6.6708069120000006</v>
      </c>
      <c r="L59" s="151">
        <f ca="1">OFFSET(IND!O$25,$E59,0)</f>
        <v>6.6708069120000006</v>
      </c>
      <c r="M59" s="151">
        <f ca="1">OFFSET(IND!P$25,$E59,0)</f>
        <v>6.7166691416838908</v>
      </c>
      <c r="N59" s="151">
        <f ca="1">OFFSET(IND!Q$25,$E59,0)</f>
        <v>6.7625313713677819</v>
      </c>
      <c r="O59" s="245">
        <f ca="1">OFFSET(IND!R$25,$E59,0)</f>
        <v>6.8083936010516739</v>
      </c>
      <c r="P59" s="151">
        <f ca="1">OFFSET(IND!S$25,$E59,0)</f>
        <v>6.9506646726657166</v>
      </c>
      <c r="Q59" s="151">
        <f ca="1">OFFSET(IND!T$25,$E59,0)</f>
        <v>7.0929357442797603</v>
      </c>
      <c r="R59" s="151">
        <f ca="1">OFFSET(IND!U$25,$E59,0)</f>
        <v>7.235206815893803</v>
      </c>
      <c r="S59" s="151">
        <f ca="1">OFFSET(IND!V$25,$E59,0)</f>
        <v>7.3774778875078448</v>
      </c>
      <c r="T59" s="245">
        <f ca="1">OFFSET(IND!W$25,$E59,0)</f>
        <v>7.5197489591218858</v>
      </c>
      <c r="U59" s="151">
        <f ca="1">OFFSET(IND!X$25,$E59,0)</f>
        <v>7.7142373582301769</v>
      </c>
      <c r="V59" s="151">
        <f ca="1">OFFSET(IND!Y$25,$E59,0)</f>
        <v>7.9087257573384688</v>
      </c>
      <c r="W59" s="151">
        <f ca="1">OFFSET(IND!Z$25,$E59,0)</f>
        <v>8.103214156446759</v>
      </c>
      <c r="X59" s="151">
        <f ca="1">OFFSET(IND!AA$25,$E59,0)</f>
        <v>8.2977025555550501</v>
      </c>
      <c r="Y59" s="247">
        <f ca="1">OFFSET(IND!AB$25,$E59,0)</f>
        <v>8.4921909546633447</v>
      </c>
      <c r="Z59" s="151">
        <f ca="1">OFFSET(IND!AC$25,$E59,0)</f>
        <v>8.7011654343349321</v>
      </c>
      <c r="AA59" s="151">
        <f ca="1">OFFSET(IND!AD$25,$E59,0)</f>
        <v>8.9101399140065194</v>
      </c>
      <c r="AB59" s="151">
        <f ca="1">OFFSET(IND!AE$25,$E59,0)</f>
        <v>9.1191143936781067</v>
      </c>
      <c r="AC59" s="151">
        <f ca="1">OFFSET(IND!AF$25,$E59,0)</f>
        <v>9.3280888733496941</v>
      </c>
      <c r="AD59" s="151">
        <f ca="1">OFFSET(IND!AG$25,$E59,0)</f>
        <v>9.5370633530212814</v>
      </c>
      <c r="AE59" s="151">
        <f ca="1">OFFSET(IND!AH$25,$E59,0)</f>
        <v>9.7743961013243705</v>
      </c>
      <c r="AF59" s="151">
        <f ca="1">OFFSET(IND!AI$25,$E59,0)</f>
        <v>10.01172884962746</v>
      </c>
      <c r="AG59" s="151">
        <f ca="1">OFFSET(IND!AJ$25,$E59,0)</f>
        <v>10.249061597930549</v>
      </c>
      <c r="AH59" s="151">
        <f ca="1">OFFSET(IND!AK$25,$E59,0)</f>
        <v>10.486394346233638</v>
      </c>
      <c r="AI59" s="151">
        <f ca="1">OFFSET(IND!AL$25,$E59,0)</f>
        <v>10.723727094536724</v>
      </c>
      <c r="AJ59" s="151">
        <f ca="1">OFFSET(IND!AM$25,$E59,0)</f>
        <v>11.924600723155967</v>
      </c>
      <c r="AK59" s="151">
        <f ca="1">OFFSET(IND!AN$25,$E59,0)</f>
        <v>13.187619324104316</v>
      </c>
      <c r="AL59" s="151">
        <f ca="1">OFFSET(IND!AO$25,$E59,0)</f>
        <v>15.641154058283782</v>
      </c>
      <c r="AM59" s="151">
        <f ca="1">OFFSET(IND!AP$25,$E59,0)</f>
        <v>18.105046287851344</v>
      </c>
      <c r="AQ59" s="4"/>
    </row>
    <row r="60" spans="1:43">
      <c r="A60" s="36" t="s">
        <v>372</v>
      </c>
      <c r="B60">
        <v>4.6033799408959997</v>
      </c>
      <c r="E60" s="154">
        <f ca="1">MATCH(F60,IND!$D$26:$D$255,0)</f>
        <v>213</v>
      </c>
      <c r="F60" s="4" t="str">
        <f t="shared" si="0"/>
        <v>IOTP</v>
      </c>
      <c r="G60" s="151">
        <f ca="1">OFFSET(IND!J$25,$E60,0)</f>
        <v>4.3369135374845138</v>
      </c>
      <c r="H60" s="151">
        <f ca="1">OFFSET(IND!K$25,$E60,0)</f>
        <v>4.4033185658032927</v>
      </c>
      <c r="I60" s="151">
        <f ca="1">OFFSET(IND!L$25,$E60,0)</f>
        <v>4.4697235941220708</v>
      </c>
      <c r="J60" s="151">
        <f ca="1">OFFSET(IND!M$25,$E60,0)</f>
        <v>2.3512320000000004</v>
      </c>
      <c r="K60" s="151">
        <f ca="1">OFFSET(IND!N$25,$E60,0)</f>
        <v>2.3512320000000004</v>
      </c>
      <c r="L60" s="151">
        <f ca="1">OFFSET(IND!O$25,$E60,0)</f>
        <v>2.3512320000000004</v>
      </c>
      <c r="M60" s="151">
        <f ca="1">OFFSET(IND!P$25,$E60,0)</f>
        <v>2.3673968723230376</v>
      </c>
      <c r="N60" s="151">
        <f ca="1">OFFSET(IND!Q$25,$E60,0)</f>
        <v>2.3835617446460748</v>
      </c>
      <c r="O60" s="245">
        <f ca="1">OFFSET(IND!R$25,$E60,0)</f>
        <v>2.3997266169691125</v>
      </c>
      <c r="P60" s="151">
        <f ca="1">OFFSET(IND!S$25,$E60,0)</f>
        <v>2.4498723190807237</v>
      </c>
      <c r="Q60" s="151">
        <f ca="1">OFFSET(IND!T$25,$E60,0)</f>
        <v>2.5000180211923348</v>
      </c>
      <c r="R60" s="151">
        <f ca="1">OFFSET(IND!U$25,$E60,0)</f>
        <v>2.550163723303946</v>
      </c>
      <c r="S60" s="151">
        <f ca="1">OFFSET(IND!V$25,$E60,0)</f>
        <v>2.6003094254155572</v>
      </c>
      <c r="T60" s="245">
        <f ca="1">OFFSET(IND!W$25,$E60,0)</f>
        <v>2.6504551275271679</v>
      </c>
      <c r="U60" s="151">
        <f ca="1">OFFSET(IND!X$25,$E60,0)</f>
        <v>2.7190056572673678</v>
      </c>
      <c r="V60" s="151">
        <f ca="1">OFFSET(IND!Y$25,$E60,0)</f>
        <v>2.7875561870075676</v>
      </c>
      <c r="W60" s="151">
        <f ca="1">OFFSET(IND!Z$25,$E60,0)</f>
        <v>2.8561067167477669</v>
      </c>
      <c r="X60" s="151">
        <f ca="1">OFFSET(IND!AA$25,$E60,0)</f>
        <v>2.9246572464879668</v>
      </c>
      <c r="Y60" s="247">
        <f ca="1">OFFSET(IND!AB$25,$E60,0)</f>
        <v>2.9932077762281679</v>
      </c>
      <c r="Z60" s="151">
        <f ca="1">OFFSET(IND!AC$25,$E60,0)</f>
        <v>3.0668641554741791</v>
      </c>
      <c r="AA60" s="151">
        <f ca="1">OFFSET(IND!AD$25,$E60,0)</f>
        <v>3.1405205347201903</v>
      </c>
      <c r="AB60" s="151">
        <f ca="1">OFFSET(IND!AE$25,$E60,0)</f>
        <v>3.2141769139662015</v>
      </c>
      <c r="AC60" s="151">
        <f ca="1">OFFSET(IND!AF$25,$E60,0)</f>
        <v>3.2878332932122132</v>
      </c>
      <c r="AD60" s="151">
        <f ca="1">OFFSET(IND!AG$25,$E60,0)</f>
        <v>3.3614896724582248</v>
      </c>
      <c r="AE60" s="151">
        <f ca="1">OFFSET(IND!AH$25,$E60,0)</f>
        <v>3.4451413745415738</v>
      </c>
      <c r="AF60" s="151">
        <f ca="1">OFFSET(IND!AI$25,$E60,0)</f>
        <v>3.5287930766249227</v>
      </c>
      <c r="AG60" s="151">
        <f ca="1">OFFSET(IND!AJ$25,$E60,0)</f>
        <v>3.6124447787082716</v>
      </c>
      <c r="AH60" s="151">
        <f ca="1">OFFSET(IND!AK$25,$E60,0)</f>
        <v>3.6960964807916206</v>
      </c>
      <c r="AI60" s="151">
        <f ca="1">OFFSET(IND!AL$25,$E60,0)</f>
        <v>3.7797481828749686</v>
      </c>
      <c r="AJ60" s="151">
        <f ca="1">OFFSET(IND!AM$25,$E60,0)</f>
        <v>4.2030151940196738</v>
      </c>
      <c r="AK60" s="151">
        <f ca="1">OFFSET(IND!AN$25,$E60,0)</f>
        <v>4.648186189121172</v>
      </c>
      <c r="AL60" s="151">
        <f ca="1">OFFSET(IND!AO$25,$E60,0)</f>
        <v>5.5129735313745973</v>
      </c>
      <c r="AM60" s="151">
        <f ca="1">OFFSET(IND!AP$25,$E60,0)</f>
        <v>6.3814115376207905</v>
      </c>
      <c r="AQ60" s="4"/>
    </row>
    <row r="61" spans="1:43">
      <c r="A61" s="36" t="s">
        <v>373</v>
      </c>
      <c r="B61">
        <v>109.842732955</v>
      </c>
      <c r="E61" s="154">
        <f ca="1">MATCH(F61,IND!$D$26:$D$255,0)</f>
        <v>218</v>
      </c>
      <c r="F61" s="4" t="str">
        <f t="shared" si="0"/>
        <v>IOTS</v>
      </c>
      <c r="G61" s="151">
        <f ca="1">OFFSET(IND!J$25,$E61,0)</f>
        <v>73.690487252999532</v>
      </c>
      <c r="H61" s="151">
        <f ca="1">OFFSET(IND!K$25,$E61,0)</f>
        <v>74.818805549079357</v>
      </c>
      <c r="I61" s="151">
        <f ca="1">OFFSET(IND!L$25,$E61,0)</f>
        <v>75.947123845159169</v>
      </c>
      <c r="J61" s="151">
        <f ca="1">OFFSET(IND!M$25,$E61,0)</f>
        <v>61.561340800000004</v>
      </c>
      <c r="K61" s="151">
        <f ca="1">OFFSET(IND!N$25,$E61,0)</f>
        <v>61.561340800000004</v>
      </c>
      <c r="L61" s="151">
        <f ca="1">OFFSET(IND!O$25,$E61,0)</f>
        <v>61.561340800000004</v>
      </c>
      <c r="M61" s="151">
        <f ca="1">OFFSET(IND!P$25,$E61,0)</f>
        <v>61.984579006211455</v>
      </c>
      <c r="N61" s="151">
        <f ca="1">OFFSET(IND!Q$25,$E61,0)</f>
        <v>62.407817212422913</v>
      </c>
      <c r="O61" s="245">
        <f ca="1">OFFSET(IND!R$25,$E61,0)</f>
        <v>62.831055418634385</v>
      </c>
      <c r="P61" s="151">
        <f ca="1">OFFSET(IND!S$25,$E61,0)</f>
        <v>64.143999720748411</v>
      </c>
      <c r="Q61" s="151">
        <f ca="1">OFFSET(IND!T$25,$E61,0)</f>
        <v>65.456944022862444</v>
      </c>
      <c r="R61" s="151">
        <f ca="1">OFFSET(IND!U$25,$E61,0)</f>
        <v>66.769888324976478</v>
      </c>
      <c r="S61" s="151">
        <f ca="1">OFFSET(IND!V$25,$E61,0)</f>
        <v>68.082832627090497</v>
      </c>
      <c r="T61" s="245">
        <f ca="1">OFFSET(IND!W$25,$E61,0)</f>
        <v>69.395776929204516</v>
      </c>
      <c r="U61" s="151">
        <f ca="1">OFFSET(IND!X$25,$E61,0)</f>
        <v>71.190607266388156</v>
      </c>
      <c r="V61" s="151">
        <f ca="1">OFFSET(IND!Y$25,$E61,0)</f>
        <v>72.985437603571796</v>
      </c>
      <c r="W61" s="151">
        <f ca="1">OFFSET(IND!Z$25,$E61,0)</f>
        <v>74.780267940755436</v>
      </c>
      <c r="X61" s="151">
        <f ca="1">OFFSET(IND!AA$25,$E61,0)</f>
        <v>76.575098277939077</v>
      </c>
      <c r="Y61" s="247">
        <f ca="1">OFFSET(IND!AB$25,$E61,0)</f>
        <v>78.369928615122745</v>
      </c>
      <c r="Z61" s="151">
        <f ca="1">OFFSET(IND!AC$25,$E61,0)</f>
        <v>80.298443310762195</v>
      </c>
      <c r="AA61" s="151">
        <f ca="1">OFFSET(IND!AD$25,$E61,0)</f>
        <v>82.226958006401645</v>
      </c>
      <c r="AB61" s="151">
        <f ca="1">OFFSET(IND!AE$25,$E61,0)</f>
        <v>84.155472702041095</v>
      </c>
      <c r="AC61" s="151">
        <f ca="1">OFFSET(IND!AF$25,$E61,0)</f>
        <v>86.083987397680559</v>
      </c>
      <c r="AD61" s="151">
        <f ca="1">OFFSET(IND!AG$25,$E61,0)</f>
        <v>88.012502093320023</v>
      </c>
      <c r="AE61" s="151">
        <f ca="1">OFFSET(IND!AH$25,$E61,0)</f>
        <v>90.202720217457966</v>
      </c>
      <c r="AF61" s="151">
        <f ca="1">OFFSET(IND!AI$25,$E61,0)</f>
        <v>92.392938341595908</v>
      </c>
      <c r="AG61" s="151">
        <f ca="1">OFFSET(IND!AJ$25,$E61,0)</f>
        <v>94.58315646573385</v>
      </c>
      <c r="AH61" s="151">
        <f ca="1">OFFSET(IND!AK$25,$E61,0)</f>
        <v>96.773374589871793</v>
      </c>
      <c r="AI61" s="151">
        <f ca="1">OFFSET(IND!AL$25,$E61,0)</f>
        <v>98.963592714009707</v>
      </c>
      <c r="AJ61" s="151">
        <f ca="1">OFFSET(IND!AM$25,$E61,0)</f>
        <v>110.04581885012753</v>
      </c>
      <c r="AK61" s="151">
        <f ca="1">OFFSET(IND!AN$25,$E61,0)</f>
        <v>121.70154799285714</v>
      </c>
      <c r="AL61" s="151">
        <f ca="1">OFFSET(IND!AO$25,$E61,0)</f>
        <v>144.34391943726982</v>
      </c>
      <c r="AM61" s="151">
        <f ca="1">OFFSET(IND!AP$25,$E61,0)</f>
        <v>167.081874716117</v>
      </c>
      <c r="AQ61" s="4"/>
    </row>
    <row r="62" spans="1:43">
      <c r="A62" s="36" t="s">
        <v>374</v>
      </c>
      <c r="B62">
        <v>9.3435013244270007</v>
      </c>
      <c r="E62" s="153">
        <f>MATCH(F62,RES!$D$96:$D$134,0)</f>
        <v>25</v>
      </c>
      <c r="F62" s="4" t="str">
        <f t="shared" si="0"/>
        <v>RHEH</v>
      </c>
      <c r="G62" s="151">
        <f ca="1">OFFSET(RES!J$95,$E62,0)</f>
        <v>7.0807191761646662</v>
      </c>
      <c r="H62" s="151">
        <f ca="1">OFFSET(RES!K$95,$E62,0)</f>
        <v>7.4891838053592767</v>
      </c>
      <c r="I62" s="151">
        <f ca="1">OFFSET(RES!L$95,$E62,0)</f>
        <v>7.8976484345538882</v>
      </c>
      <c r="J62" s="151">
        <f ca="1">OFFSET(RES!M$95,$E62,0)</f>
        <v>8.3061130637484997</v>
      </c>
      <c r="K62" s="151">
        <f ca="1">OFFSET(RES!N$95,$E62,0)</f>
        <v>8.7145776929431094</v>
      </c>
      <c r="L62" s="151">
        <f ca="1">OFFSET(RES!O$95,$E62,0)</f>
        <v>9.1230423221377208</v>
      </c>
      <c r="M62" s="151">
        <f ca="1">OFFSET(RES!P$95,$E62,0)</f>
        <v>9.3481843229230464</v>
      </c>
      <c r="N62" s="151">
        <f ca="1">OFFSET(RES!Q$95,$E62,0)</f>
        <v>9.5759443045866881</v>
      </c>
      <c r="O62" s="245">
        <f ca="1">OFFSET(RES!R$95,$E62,0)</f>
        <v>9.8063222671286425</v>
      </c>
      <c r="P62" s="151">
        <f ca="1">OFFSET(RES!S$95,$E62,0)</f>
        <v>9.9885046376070346</v>
      </c>
      <c r="Q62" s="151">
        <f ca="1">OFFSET(RES!T$95,$E62,0)</f>
        <v>10.172362726989531</v>
      </c>
      <c r="R62" s="151">
        <f ca="1">OFFSET(RES!U$95,$E62,0)</f>
        <v>10.357896535276124</v>
      </c>
      <c r="S62" s="151">
        <f ca="1">OFFSET(RES!V$95,$E62,0)</f>
        <v>10.54510606246682</v>
      </c>
      <c r="T62" s="245">
        <f ca="1">OFFSET(RES!W$95,$E62,0)</f>
        <v>10.733991308561627</v>
      </c>
      <c r="U62" s="151">
        <f ca="1">OFFSET(RES!X$95,$E62,0)</f>
        <v>10.999039918238198</v>
      </c>
      <c r="V62" s="151">
        <f ca="1">OFFSET(RES!Y$95,$E62,0)</f>
        <v>11.267191631056166</v>
      </c>
      <c r="W62" s="151">
        <f ca="1">OFFSET(RES!Z$95,$E62,0)</f>
        <v>11.538446447015534</v>
      </c>
      <c r="X62" s="151">
        <f ca="1">OFFSET(RES!AA$95,$E62,0)</f>
        <v>11.8128043661163</v>
      </c>
      <c r="Y62" s="247">
        <f ca="1">OFFSET(RES!AB$95,$E62,0)</f>
        <v>12.090265388358452</v>
      </c>
      <c r="Z62" s="151">
        <f ca="1">OFFSET(RES!AC$95,$E62,0)</f>
        <v>12.345169900441695</v>
      </c>
      <c r="AA62" s="151">
        <f ca="1">OFFSET(RES!AD$95,$E62,0)</f>
        <v>12.602682587268577</v>
      </c>
      <c r="AB62" s="151">
        <f ca="1">OFFSET(RES!AE$95,$E62,0)</f>
        <v>12.862803448839097</v>
      </c>
      <c r="AC62" s="151">
        <f ca="1">OFFSET(RES!AF$95,$E62,0)</f>
        <v>13.125532485153258</v>
      </c>
      <c r="AD62" s="151">
        <f ca="1">OFFSET(RES!AG$95,$E62,0)</f>
        <v>13.390869696211062</v>
      </c>
      <c r="AE62" s="151">
        <f ca="1">OFFSET(RES!AH$95,$E62,0)</f>
        <v>13.641094378825152</v>
      </c>
      <c r="AF62" s="151">
        <f ca="1">OFFSET(RES!AI$95,$E62,0)</f>
        <v>13.89363258988547</v>
      </c>
      <c r="AG62" s="151">
        <f ca="1">OFFSET(RES!AJ$95,$E62,0)</f>
        <v>14.148484329392021</v>
      </c>
      <c r="AH62" s="151">
        <f ca="1">OFFSET(RES!AK$95,$E62,0)</f>
        <v>14.405649597344807</v>
      </c>
      <c r="AI62" s="151">
        <f ca="1">OFFSET(RES!AL$95,$E62,0)</f>
        <v>14.665128393743819</v>
      </c>
      <c r="AJ62" s="151">
        <f ca="1">OFFSET(RES!AM$95,$E62,0)</f>
        <v>16.074223103689864</v>
      </c>
      <c r="AK62" s="151">
        <f ca="1">OFFSET(RES!AN$95,$E62,0)</f>
        <v>17.278733967941783</v>
      </c>
      <c r="AL62" s="151">
        <f ca="1">OFFSET(RES!AO$95,$E62,0)</f>
        <v>17.278733967941783</v>
      </c>
      <c r="AM62" s="151">
        <f ca="1">OFFSET(RES!AP$95,$E62,0)</f>
        <v>17.278733967941783</v>
      </c>
      <c r="AQ62" s="4"/>
    </row>
    <row r="63" spans="1:43">
      <c r="A63" s="36" t="s">
        <v>375</v>
      </c>
      <c r="B63">
        <v>3.5355599850489998</v>
      </c>
      <c r="E63" s="154">
        <f>MATCH(F63,RES!$D$96:$D$134,0)</f>
        <v>24</v>
      </c>
      <c r="F63" s="4" t="str">
        <f t="shared" si="0"/>
        <v>RHEK</v>
      </c>
      <c r="G63" s="151">
        <f ca="1">OFFSET(RES!J$95,$E63,0)</f>
        <v>3.8899651470038408</v>
      </c>
      <c r="H63" s="151">
        <f ca="1">OFFSET(RES!K$95,$E63,0)</f>
        <v>4.388697141528918</v>
      </c>
      <c r="I63" s="151">
        <f ca="1">OFFSET(RES!L$95,$E63,0)</f>
        <v>4.8874291360539948</v>
      </c>
      <c r="J63" s="151">
        <f ca="1">OFFSET(RES!M$95,$E63,0)</f>
        <v>5.3861611305790715</v>
      </c>
      <c r="K63" s="151">
        <f ca="1">OFFSET(RES!N$95,$E63,0)</f>
        <v>5.8848931251041492</v>
      </c>
      <c r="L63" s="151">
        <f ca="1">OFFSET(RES!O$95,$E63,0)</f>
        <v>6.383625119629226</v>
      </c>
      <c r="M63" s="151">
        <f ca="1">OFFSET(RES!P$95,$E63,0)</f>
        <v>6.5411627130052059</v>
      </c>
      <c r="N63" s="151">
        <f ca="1">OFFSET(RES!Q$95,$E63,0)</f>
        <v>6.7005321742940387</v>
      </c>
      <c r="O63" s="245">
        <f ca="1">OFFSET(RES!R$95,$E63,0)</f>
        <v>6.8617335034957234</v>
      </c>
      <c r="P63" s="151">
        <f ca="1">OFFSET(RES!S$95,$E63,0)</f>
        <v>6.9892111491619504</v>
      </c>
      <c r="Q63" s="151">
        <f ca="1">OFFSET(RES!T$95,$E63,0)</f>
        <v>7.1178613380338263</v>
      </c>
      <c r="R63" s="151">
        <f ca="1">OFFSET(RES!U$95,$E63,0)</f>
        <v>7.2476840701113465</v>
      </c>
      <c r="S63" s="151">
        <f ca="1">OFFSET(RES!V$95,$E63,0)</f>
        <v>7.3786793453945156</v>
      </c>
      <c r="T63" s="245">
        <f ca="1">OFFSET(RES!W$95,$E63,0)</f>
        <v>7.5108471638833407</v>
      </c>
      <c r="U63" s="151">
        <f ca="1">OFFSET(RES!X$95,$E63,0)</f>
        <v>7.6963084281096901</v>
      </c>
      <c r="V63" s="151">
        <f ca="1">OFFSET(RES!Y$95,$E63,0)</f>
        <v>7.8839410126547191</v>
      </c>
      <c r="W63" s="151">
        <f ca="1">OFFSET(RES!Z$95,$E63,0)</f>
        <v>8.0737449175184288</v>
      </c>
      <c r="X63" s="151">
        <f ca="1">OFFSET(RES!AA$95,$E63,0)</f>
        <v>8.2657201427008165</v>
      </c>
      <c r="Y63" s="247">
        <f ca="1">OFFSET(RES!AB$95,$E63,0)</f>
        <v>8.4598666882018758</v>
      </c>
      <c r="Z63" s="151">
        <f ca="1">OFFSET(RES!AC$95,$E63,0)</f>
        <v>8.6382298689242614</v>
      </c>
      <c r="AA63" s="151">
        <f ca="1">OFFSET(RES!AD$95,$E63,0)</f>
        <v>8.8184180559572578</v>
      </c>
      <c r="AB63" s="151">
        <f ca="1">OFFSET(RES!AE$95,$E63,0)</f>
        <v>9.0004312493008651</v>
      </c>
      <c r="AC63" s="151">
        <f ca="1">OFFSET(RES!AF$95,$E63,0)</f>
        <v>9.1842694489550851</v>
      </c>
      <c r="AD63" s="151">
        <f ca="1">OFFSET(RES!AG$95,$E63,0)</f>
        <v>9.3699326549199196</v>
      </c>
      <c r="AE63" s="151">
        <f ca="1">OFFSET(RES!AH$95,$E63,0)</f>
        <v>9.5450212397454539</v>
      </c>
      <c r="AF63" s="151">
        <f ca="1">OFFSET(RES!AI$95,$E63,0)</f>
        <v>9.7217286593612737</v>
      </c>
      <c r="AG63" s="151">
        <f ca="1">OFFSET(RES!AJ$95,$E63,0)</f>
        <v>9.9000549137673808</v>
      </c>
      <c r="AH63" s="151">
        <f ca="1">OFFSET(RES!AK$95,$E63,0)</f>
        <v>10.080000002963779</v>
      </c>
      <c r="AI63" s="151">
        <f ca="1">OFFSET(RES!AL$95,$E63,0)</f>
        <v>10.26156392695046</v>
      </c>
      <c r="AJ63" s="151">
        <f ca="1">OFFSET(RES!AM$95,$E63,0)</f>
        <v>11.24754339177448</v>
      </c>
      <c r="AK63" s="151">
        <f ca="1">OFFSET(RES!AN$95,$E63,0)</f>
        <v>12.090370328052808</v>
      </c>
      <c r="AL63" s="151">
        <f ca="1">OFFSET(RES!AO$95,$E63,0)</f>
        <v>12.090370328052808</v>
      </c>
      <c r="AM63" s="151">
        <f ca="1">OFFSET(RES!AP$95,$E63,0)</f>
        <v>12.090370328052808</v>
      </c>
      <c r="AQ63" s="4"/>
    </row>
    <row r="64" spans="1:43">
      <c r="A64" s="36" t="s">
        <v>376</v>
      </c>
      <c r="B64">
        <v>27.200595464100001</v>
      </c>
      <c r="E64" s="154">
        <f>MATCH(F64,RES!$D$96:$D$134,0)</f>
        <v>23</v>
      </c>
      <c r="F64" s="4" t="str">
        <f t="shared" si="0"/>
        <v>RHEL</v>
      </c>
      <c r="G64" s="151">
        <f ca="1">OFFSET(RES!J$95,$E64,0)</f>
        <v>29.137979962225089</v>
      </c>
      <c r="H64" s="151">
        <f ca="1">OFFSET(RES!K$95,$E64,0)</f>
        <v>30.895416547805155</v>
      </c>
      <c r="I64" s="151">
        <f ca="1">OFFSET(RES!L$95,$E64,0)</f>
        <v>32.652853133385221</v>
      </c>
      <c r="J64" s="151">
        <f ca="1">OFFSET(RES!M$95,$E64,0)</f>
        <v>34.410289718965288</v>
      </c>
      <c r="K64" s="151">
        <f ca="1">OFFSET(RES!N$95,$E64,0)</f>
        <v>36.167726304545354</v>
      </c>
      <c r="L64" s="151">
        <f ca="1">OFFSET(RES!O$95,$E64,0)</f>
        <v>37.925162890125421</v>
      </c>
      <c r="M64" s="151">
        <f ca="1">OFFSET(RES!P$95,$E64,0)</f>
        <v>37.056571719218319</v>
      </c>
      <c r="N64" s="151">
        <f ca="1">OFFSET(RES!Q$95,$E64,0)</f>
        <v>37.959421278419939</v>
      </c>
      <c r="O64" s="245">
        <f ca="1">OFFSET(RES!R$95,$E64,0)</f>
        <v>38.872648617180189</v>
      </c>
      <c r="P64" s="151">
        <f ca="1">OFFSET(RES!S$95,$E64,0)</f>
        <v>39.59482672625483</v>
      </c>
      <c r="Q64" s="151">
        <f ca="1">OFFSET(RES!T$95,$E64,0)</f>
        <v>40.323647451222151</v>
      </c>
      <c r="R64" s="151">
        <f ca="1">OFFSET(RES!U$95,$E64,0)</f>
        <v>41.059110792082123</v>
      </c>
      <c r="S64" s="151">
        <f ca="1">OFFSET(RES!V$95,$E64,0)</f>
        <v>41.801216748834776</v>
      </c>
      <c r="T64" s="245">
        <f ca="1">OFFSET(RES!W$95,$E64,0)</f>
        <v>42.549965321480144</v>
      </c>
      <c r="U64" s="151">
        <f ca="1">OFFSET(RES!X$95,$E64,0)</f>
        <v>43.600628474267417</v>
      </c>
      <c r="V64" s="151">
        <f ca="1">OFFSET(RES!Y$95,$E64,0)</f>
        <v>44.663592450416658</v>
      </c>
      <c r="W64" s="151">
        <f ca="1">OFFSET(RES!Z$95,$E64,0)</f>
        <v>45.738857249927868</v>
      </c>
      <c r="X64" s="151">
        <f ca="1">OFFSET(RES!AA$95,$E64,0)</f>
        <v>46.826422872801039</v>
      </c>
      <c r="Y64" s="247">
        <f ca="1">OFFSET(RES!AB$95,$E64,0)</f>
        <v>47.92628931903613</v>
      </c>
      <c r="Z64" s="151">
        <f ca="1">OFFSET(RES!AC$95,$E64,0)</f>
        <v>48.936740868477926</v>
      </c>
      <c r="AA64" s="151">
        <f ca="1">OFFSET(RES!AD$95,$E64,0)</f>
        <v>49.957531325573363</v>
      </c>
      <c r="AB64" s="151">
        <f ca="1">OFFSET(RES!AE$95,$E64,0)</f>
        <v>50.988660690322426</v>
      </c>
      <c r="AC64" s="151">
        <f ca="1">OFFSET(RES!AF$95,$E64,0)</f>
        <v>52.030128962725136</v>
      </c>
      <c r="AD64" s="151">
        <f ca="1">OFFSET(RES!AG$95,$E64,0)</f>
        <v>53.081936142781508</v>
      </c>
      <c r="AE64" s="151">
        <f ca="1">OFFSET(RES!AH$95,$E64,0)</f>
        <v>54.073836663449491</v>
      </c>
      <c r="AF64" s="151">
        <f ca="1">OFFSET(RES!AI$95,$E64,0)</f>
        <v>55.074908102215645</v>
      </c>
      <c r="AG64" s="151">
        <f ca="1">OFFSET(RES!AJ$95,$E64,0)</f>
        <v>56.085150459079983</v>
      </c>
      <c r="AH64" s="151">
        <f ca="1">OFFSET(RES!AK$95,$E64,0)</f>
        <v>57.104563734042515</v>
      </c>
      <c r="AI64" s="151">
        <f ca="1">OFFSET(RES!AL$95,$E64,0)</f>
        <v>58.133147927103209</v>
      </c>
      <c r="AJ64" s="151">
        <f ca="1">OFFSET(RES!AM$95,$E64,0)</f>
        <v>63.7188549879113</v>
      </c>
      <c r="AK64" s="151">
        <f ca="1">OFFSET(RES!AN$95,$E64,0)</f>
        <v>68.493583607486926</v>
      </c>
      <c r="AL64" s="151">
        <f ca="1">OFFSET(RES!AO$95,$E64,0)</f>
        <v>68.493583607486926</v>
      </c>
      <c r="AM64" s="151">
        <f ca="1">OFFSET(RES!AP$95,$E64,0)</f>
        <v>68.493583607486926</v>
      </c>
      <c r="AQ64" s="4"/>
    </row>
    <row r="65" spans="1:39">
      <c r="A65" s="36" t="s">
        <v>377</v>
      </c>
      <c r="B65">
        <v>11.63227160329</v>
      </c>
      <c r="E65" s="154">
        <f>MATCH(F65,RES!$D$96:$D$134,0)</f>
        <v>29</v>
      </c>
      <c r="F65" s="4" t="str">
        <f t="shared" si="0"/>
        <v>RHEO</v>
      </c>
      <c r="G65" s="151">
        <f ca="1">OFFSET(RES!J$95,$E65,0)</f>
        <v>11.683546033026639</v>
      </c>
      <c r="H65" s="151">
        <f ca="1">OFFSET(RES!K$95,$E65,0)</f>
        <v>12.392028127426933</v>
      </c>
      <c r="I65" s="151">
        <f ca="1">OFFSET(RES!L$95,$E65,0)</f>
        <v>13.100510221827227</v>
      </c>
      <c r="J65" s="151">
        <f ca="1">OFFSET(RES!M$95,$E65,0)</f>
        <v>13.808992316227521</v>
      </c>
      <c r="K65" s="151">
        <f ca="1">OFFSET(RES!N$95,$E65,0)</f>
        <v>14.517474410627814</v>
      </c>
      <c r="L65" s="151">
        <f ca="1">OFFSET(RES!O$95,$E65,0)</f>
        <v>15.225956505028108</v>
      </c>
      <c r="M65" s="151">
        <f ca="1">OFFSET(RES!P$95,$E65,0)</f>
        <v>15.60170860508075</v>
      </c>
      <c r="N65" s="151">
        <f ca="1">OFFSET(RES!Q$95,$E65,0)</f>
        <v>15.98183000010942</v>
      </c>
      <c r="O65" s="245">
        <f ca="1">OFFSET(RES!R$95,$E65,0)</f>
        <v>16.366320690114119</v>
      </c>
      <c r="P65" s="151">
        <f ca="1">OFFSET(RES!S$95,$E65,0)</f>
        <v>16.670375056074459</v>
      </c>
      <c r="Q65" s="151">
        <f ca="1">OFFSET(RES!T$95,$E65,0)</f>
        <v>16.97722612320614</v>
      </c>
      <c r="R65" s="151">
        <f ca="1">OFFSET(RES!U$95,$E65,0)</f>
        <v>17.286873891509153</v>
      </c>
      <c r="S65" s="151">
        <f ca="1">OFFSET(RES!V$95,$E65,0)</f>
        <v>17.599318360983506</v>
      </c>
      <c r="T65" s="245">
        <f ca="1">OFFSET(RES!W$95,$E65,0)</f>
        <v>17.914559531629219</v>
      </c>
      <c r="U65" s="151">
        <f ca="1">OFFSET(RES!X$95,$E65,0)</f>
        <v>18.356914007269534</v>
      </c>
      <c r="V65" s="151">
        <f ca="1">OFFSET(RES!Y$95,$E65,0)</f>
        <v>18.804447425612647</v>
      </c>
      <c r="W65" s="151">
        <f ca="1">OFFSET(RES!Z$95,$E65,0)</f>
        <v>19.257159786658558</v>
      </c>
      <c r="X65" s="151">
        <f ca="1">OFFSET(RES!AA$95,$E65,0)</f>
        <v>19.715051090407265</v>
      </c>
      <c r="Y65" s="247">
        <f ca="1">OFFSET(RES!AB$95,$E65,0)</f>
        <v>20.178121336858752</v>
      </c>
      <c r="Z65" s="151">
        <f ca="1">OFFSET(RES!AC$95,$E65,0)</f>
        <v>20.603545759641158</v>
      </c>
      <c r="AA65" s="151">
        <f ca="1">OFFSET(RES!AD$95,$E65,0)</f>
        <v>21.033323111391983</v>
      </c>
      <c r="AB65" s="151">
        <f ca="1">OFFSET(RES!AE$95,$E65,0)</f>
        <v>21.467453392111224</v>
      </c>
      <c r="AC65" s="151">
        <f ca="1">OFFSET(RES!AF$95,$E65,0)</f>
        <v>21.905936601798889</v>
      </c>
      <c r="AD65" s="151">
        <f ca="1">OFFSET(RES!AG$95,$E65,0)</f>
        <v>22.348772740454983</v>
      </c>
      <c r="AE65" s="151">
        <f ca="1">OFFSET(RES!AH$95,$E65,0)</f>
        <v>22.766386733620571</v>
      </c>
      <c r="AF65" s="151">
        <f ca="1">OFFSET(RES!AI$95,$E65,0)</f>
        <v>23.18786190403949</v>
      </c>
      <c r="AG65" s="151">
        <f ca="1">OFFSET(RES!AJ$95,$E65,0)</f>
        <v>23.613198251711747</v>
      </c>
      <c r="AH65" s="151">
        <f ca="1">OFFSET(RES!AK$95,$E65,0)</f>
        <v>24.042395776637349</v>
      </c>
      <c r="AI65" s="151">
        <f ca="1">OFFSET(RES!AL$95,$E65,0)</f>
        <v>24.475454478816278</v>
      </c>
      <c r="AJ65" s="151">
        <f ca="1">OFFSET(RES!AM$95,$E65,0)</f>
        <v>26.827171593297052</v>
      </c>
      <c r="AK65" s="151">
        <f ca="1">OFFSET(RES!AN$95,$E65,0)</f>
        <v>28.837447264651839</v>
      </c>
      <c r="AL65" s="151">
        <f ca="1">OFFSET(RES!AO$95,$E65,0)</f>
        <v>28.837447264651839</v>
      </c>
      <c r="AM65" s="151">
        <f ca="1">OFFSET(RES!AP$95,$E65,0)</f>
        <v>28.837447264651839</v>
      </c>
    </row>
    <row r="66" spans="1:39">
      <c r="A66" s="36" t="s">
        <v>378</v>
      </c>
      <c r="B66">
        <v>4.337948126733</v>
      </c>
      <c r="E66" s="154">
        <f>MATCH(F66,RES!$D$96:$D$134,0)</f>
        <v>28</v>
      </c>
      <c r="F66" s="4" t="str">
        <f t="shared" si="0"/>
        <v>RHER</v>
      </c>
      <c r="G66" s="151">
        <f ca="1">OFFSET(RES!J$95,$E66,0)</f>
        <v>5.2199769796058071</v>
      </c>
      <c r="H66" s="151">
        <f ca="1">OFFSET(RES!K$95,$E66,0)</f>
        <v>5.5365127481796916</v>
      </c>
      <c r="I66" s="151">
        <f ca="1">OFFSET(RES!L$95,$E66,0)</f>
        <v>5.8530485167535753</v>
      </c>
      <c r="J66" s="151">
        <f ca="1">OFFSET(RES!M$95,$E66,0)</f>
        <v>6.1695842853274598</v>
      </c>
      <c r="K66" s="151">
        <f ca="1">OFFSET(RES!N$95,$E66,0)</f>
        <v>6.4861200539013435</v>
      </c>
      <c r="L66" s="151">
        <f ca="1">OFFSET(RES!O$95,$E66,0)</f>
        <v>6.802655822475228</v>
      </c>
      <c r="M66" s="151">
        <f ca="1">OFFSET(RES!P$95,$E66,0)</f>
        <v>6.9705344191588772</v>
      </c>
      <c r="N66" s="151">
        <f ca="1">OFFSET(RES!Q$95,$E66,0)</f>
        <v>7.1403651303056792</v>
      </c>
      <c r="O66" s="245">
        <f ca="1">OFFSET(RES!R$95,$E66,0)</f>
        <v>7.3121479559156324</v>
      </c>
      <c r="P66" s="151">
        <f ca="1">OFFSET(RES!S$95,$E66,0)</f>
        <v>7.4479934249517532</v>
      </c>
      <c r="Q66" s="151">
        <f ca="1">OFFSET(RES!T$95,$E66,0)</f>
        <v>7.5850884046836828</v>
      </c>
      <c r="R66" s="151">
        <f ca="1">OFFSET(RES!U$95,$E66,0)</f>
        <v>7.723432895111416</v>
      </c>
      <c r="S66" s="151">
        <f ca="1">OFFSET(RES!V$95,$E66,0)</f>
        <v>7.8630268962349588</v>
      </c>
      <c r="T66" s="245">
        <f ca="1">OFFSET(RES!W$95,$E66,0)</f>
        <v>8.0038704080543166</v>
      </c>
      <c r="U66" s="151">
        <f ca="1">OFFSET(RES!X$95,$E66,0)</f>
        <v>8.2015056271171609</v>
      </c>
      <c r="V66" s="151">
        <f ca="1">OFFSET(RES!Y$95,$E66,0)</f>
        <v>8.4014546952127276</v>
      </c>
      <c r="W66" s="151">
        <f ca="1">OFFSET(RES!Z$95,$E66,0)</f>
        <v>8.6037176123410202</v>
      </c>
      <c r="X66" s="151">
        <f ca="1">OFFSET(RES!AA$95,$E66,0)</f>
        <v>8.8082943785020351</v>
      </c>
      <c r="Y66" s="247">
        <f ca="1">OFFSET(RES!AB$95,$E66,0)</f>
        <v>9.0151849936957653</v>
      </c>
      <c r="Z66" s="151">
        <f ca="1">OFFSET(RES!AC$95,$E66,0)</f>
        <v>9.2052562004346115</v>
      </c>
      <c r="AA66" s="151">
        <f ca="1">OFFSET(RES!AD$95,$E66,0)</f>
        <v>9.3972722096285324</v>
      </c>
      <c r="AB66" s="151">
        <f ca="1">OFFSET(RES!AE$95,$E66,0)</f>
        <v>9.5912330212775281</v>
      </c>
      <c r="AC66" s="151">
        <f ca="1">OFFSET(RES!AF$95,$E66,0)</f>
        <v>9.7871386353816003</v>
      </c>
      <c r="AD66" s="151">
        <f ca="1">OFFSET(RES!AG$95,$E66,0)</f>
        <v>9.9849890519407509</v>
      </c>
      <c r="AE66" s="151">
        <f ca="1">OFFSET(RES!AH$95,$E66,0)</f>
        <v>10.171570713409235</v>
      </c>
      <c r="AF66" s="151">
        <f ca="1">OFFSET(RES!AI$95,$E66,0)</f>
        <v>10.359877472405438</v>
      </c>
      <c r="AG66" s="151">
        <f ca="1">OFFSET(RES!AJ$95,$E66,0)</f>
        <v>10.549909328929363</v>
      </c>
      <c r="AH66" s="151">
        <f ca="1">OFFSET(RES!AK$95,$E66,0)</f>
        <v>10.741666282981013</v>
      </c>
      <c r="AI66" s="151">
        <f ca="1">OFFSET(RES!AL$95,$E66,0)</f>
        <v>10.935148334560381</v>
      </c>
      <c r="AJ66" s="151">
        <f ca="1">OFFSET(RES!AM$95,$E66,0)</f>
        <v>11.985848966494686</v>
      </c>
      <c r="AK66" s="151">
        <f ca="1">OFFSET(RES!AN$95,$E66,0)</f>
        <v>12.884000323751351</v>
      </c>
      <c r="AL66" s="151">
        <f ca="1">OFFSET(RES!AO$95,$E66,0)</f>
        <v>12.884000323751351</v>
      </c>
      <c r="AM66" s="151">
        <f ca="1">OFFSET(RES!AP$95,$E66,0)</f>
        <v>12.884000323751351</v>
      </c>
    </row>
    <row r="67" spans="1:39">
      <c r="A67" s="36" t="s">
        <v>569</v>
      </c>
      <c r="B67">
        <v>25.581294669590001</v>
      </c>
      <c r="E67" s="154">
        <f>MATCH(F67,RES!$D$96:$D$134,0)</f>
        <v>26</v>
      </c>
      <c r="F67" s="4" t="str">
        <f t="shared" si="0"/>
        <v>RHEWG</v>
      </c>
      <c r="G67" s="151">
        <f ca="1">OFFSET(RES!J$95,$E67,0)</f>
        <v>31.723289073249305</v>
      </c>
      <c r="H67" s="151">
        <f ca="1">OFFSET(RES!K$95,$E67,0)</f>
        <v>33.216137308815547</v>
      </c>
      <c r="I67" s="151">
        <f ca="1">OFFSET(RES!L$95,$E67,0)</f>
        <v>34.708985544381797</v>
      </c>
      <c r="J67" s="151">
        <f ca="1">OFFSET(RES!M$95,$E67,0)</f>
        <v>36.201833779948039</v>
      </c>
      <c r="K67" s="151">
        <f ca="1">OFFSET(RES!N$95,$E67,0)</f>
        <v>37.694682015514289</v>
      </c>
      <c r="L67" s="151">
        <f ca="1">OFFSET(RES!O$95,$E67,0)</f>
        <v>39.187530251080531</v>
      </c>
      <c r="M67" s="151">
        <f ca="1">OFFSET(RES!P$95,$E67,0)</f>
        <v>40.15461542453793</v>
      </c>
      <c r="N67" s="151">
        <f ca="1">OFFSET(RES!Q$95,$E67,0)</f>
        <v>41.132945991937738</v>
      </c>
      <c r="O67" s="245">
        <f ca="1">OFFSET(RES!R$95,$E67,0)</f>
        <v>42.122521953279957</v>
      </c>
      <c r="P67" s="151">
        <f ca="1">OFFSET(RES!S$95,$E67,0)</f>
        <v>42.905076379999166</v>
      </c>
      <c r="Q67" s="151">
        <f ca="1">OFFSET(RES!T$95,$E67,0)</f>
        <v>43.694828765790376</v>
      </c>
      <c r="R67" s="151">
        <f ca="1">OFFSET(RES!U$95,$E67,0)</f>
        <v>44.491779110653553</v>
      </c>
      <c r="S67" s="151">
        <f ca="1">OFFSET(RES!V$95,$E67,0)</f>
        <v>45.295927414588725</v>
      </c>
      <c r="T67" s="245">
        <f ca="1">OFFSET(RES!W$95,$E67,0)</f>
        <v>46.107273677595934</v>
      </c>
      <c r="U67" s="151">
        <f ca="1">OFFSET(RES!X$95,$E67,0)</f>
        <v>47.245775510970489</v>
      </c>
      <c r="V67" s="151">
        <f ca="1">OFFSET(RES!Y$95,$E67,0)</f>
        <v>48.39760655448481</v>
      </c>
      <c r="W67" s="151">
        <f ca="1">OFFSET(RES!Z$95,$E67,0)</f>
        <v>49.562766808138903</v>
      </c>
      <c r="X67" s="151">
        <f ca="1">OFFSET(RES!AA$95,$E67,0)</f>
        <v>50.741256271932762</v>
      </c>
      <c r="Y67" s="247">
        <f ca="1">OFFSET(RES!AB$95,$E67,0)</f>
        <v>51.933074945866338</v>
      </c>
      <c r="Z67" s="151">
        <f ca="1">OFFSET(RES!AC$95,$E67,0)</f>
        <v>53.028003361813703</v>
      </c>
      <c r="AA67" s="151">
        <f ca="1">OFFSET(RES!AD$95,$E67,0)</f>
        <v>54.134135049987314</v>
      </c>
      <c r="AB67" s="151">
        <f ca="1">OFFSET(RES!AE$95,$E67,0)</f>
        <v>55.251470010387159</v>
      </c>
      <c r="AC67" s="151">
        <f ca="1">OFFSET(RES!AF$95,$E67,0)</f>
        <v>56.380008243013258</v>
      </c>
      <c r="AD67" s="151">
        <f ca="1">OFFSET(RES!AG$95,$E67,0)</f>
        <v>57.519749747865625</v>
      </c>
      <c r="AE67" s="151">
        <f ca="1">OFFSET(RES!AH$95,$E67,0)</f>
        <v>58.594576211808736</v>
      </c>
      <c r="AF67" s="151">
        <f ca="1">OFFSET(RES!AI$95,$E67,0)</f>
        <v>59.679340310892854</v>
      </c>
      <c r="AG67" s="151">
        <f ca="1">OFFSET(RES!AJ$95,$E67,0)</f>
        <v>60.774042045117987</v>
      </c>
      <c r="AH67" s="151">
        <f ca="1">OFFSET(RES!AK$95,$E67,0)</f>
        <v>61.878681414484149</v>
      </c>
      <c r="AI67" s="151">
        <f ca="1">OFFSET(RES!AL$95,$E67,0)</f>
        <v>62.993258418991303</v>
      </c>
      <c r="AJ67" s="151">
        <f ca="1">OFFSET(RES!AM$95,$E67,0)</f>
        <v>69.045947820492316</v>
      </c>
      <c r="AK67" s="151">
        <f ca="1">OFFSET(RES!AN$95,$E67,0)</f>
        <v>74.219858481422676</v>
      </c>
      <c r="AL67" s="151">
        <f ca="1">OFFSET(RES!AO$95,$E67,0)</f>
        <v>74.219858481422676</v>
      </c>
      <c r="AM67" s="151">
        <f ca="1">OFFSET(RES!AP$95,$E67,0)</f>
        <v>74.219858481422676</v>
      </c>
    </row>
    <row r="68" spans="1:39">
      <c r="A68" s="36" t="s">
        <v>379</v>
      </c>
      <c r="B68">
        <v>14.738241842140001</v>
      </c>
      <c r="E68" s="154">
        <f>MATCH(F68,RES!$D$96:$D$134,0)</f>
        <v>4</v>
      </c>
      <c r="F68" s="4" t="str">
        <f t="shared" si="0"/>
        <v>RLEH</v>
      </c>
      <c r="G68" s="151">
        <f ca="1">OFFSET(RES!J$95,$E68,0)</f>
        <v>14.600188686866282</v>
      </c>
      <c r="H68" s="151">
        <f ca="1">OFFSET(RES!K$95,$E68,0)</f>
        <v>13.692886342241749</v>
      </c>
      <c r="I68" s="151">
        <f ca="1">OFFSET(RES!L$95,$E68,0)</f>
        <v>12.785583997617215</v>
      </c>
      <c r="J68" s="151">
        <f ca="1">OFFSET(RES!M$95,$E68,0)</f>
        <v>11.878281652992682</v>
      </c>
      <c r="K68" s="151">
        <f ca="1">OFFSET(RES!N$95,$E68,0)</f>
        <v>10.970979308368147</v>
      </c>
      <c r="L68" s="151">
        <f ca="1">OFFSET(RES!O$95,$E68,0)</f>
        <v>10.063676963743614</v>
      </c>
      <c r="M68" s="151">
        <f ca="1">OFFSET(RES!P$95,$E68,0)</f>
        <v>10.032143227406431</v>
      </c>
      <c r="N68" s="151">
        <f ca="1">OFFSET(RES!Q$95,$E68,0)</f>
        <v>9.9981636063701149</v>
      </c>
      <c r="O68" s="245">
        <f ca="1">OFFSET(RES!R$95,$E68,0)</f>
        <v>9.9617381006346637</v>
      </c>
      <c r="P68" s="151">
        <f ca="1">OFFSET(RES!S$95,$E68,0)</f>
        <v>9.9503212099532448</v>
      </c>
      <c r="Q68" s="151">
        <f ca="1">OFFSET(RES!T$95,$E68,0)</f>
        <v>9.9369171758798647</v>
      </c>
      <c r="R68" s="151">
        <f ca="1">OFFSET(RES!U$95,$E68,0)</f>
        <v>9.921525998414527</v>
      </c>
      <c r="S68" s="151">
        <f ca="1">OFFSET(RES!V$95,$E68,0)</f>
        <v>9.9041476775572281</v>
      </c>
      <c r="T68" s="245">
        <f ca="1">OFFSET(RES!W$95,$E68,0)</f>
        <v>9.8847822133079735</v>
      </c>
      <c r="U68" s="151">
        <f ca="1">OFFSET(RES!X$95,$E68,0)</f>
        <v>9.8269823022590028</v>
      </c>
      <c r="V68" s="151">
        <f ca="1">OFFSET(RES!Y$95,$E68,0)</f>
        <v>9.7661786511189703</v>
      </c>
      <c r="W68" s="151">
        <f ca="1">OFFSET(RES!Z$95,$E68,0)</f>
        <v>9.7023712598878777</v>
      </c>
      <c r="X68" s="151">
        <f ca="1">OFFSET(RES!AA$95,$E68,0)</f>
        <v>9.6355601285657251</v>
      </c>
      <c r="Y68" s="247">
        <f ca="1">OFFSET(RES!AB$95,$E68,0)</f>
        <v>9.5657452571525141</v>
      </c>
      <c r="Z68" s="151">
        <f ca="1">OFFSET(RES!AC$95,$E68,0)</f>
        <v>9.5034532605238287</v>
      </c>
      <c r="AA68" s="151">
        <f ca="1">OFFSET(RES!AD$95,$E68,0)</f>
        <v>9.438501263074885</v>
      </c>
      <c r="AB68" s="151">
        <f ca="1">OFFSET(RES!AE$95,$E68,0)</f>
        <v>9.3708892648056832</v>
      </c>
      <c r="AC68" s="151">
        <f ca="1">OFFSET(RES!AF$95,$E68,0)</f>
        <v>9.3006172657162232</v>
      </c>
      <c r="AD68" s="151">
        <f ca="1">OFFSET(RES!AG$95,$E68,0)</f>
        <v>9.2276852658065103</v>
      </c>
      <c r="AE68" s="151">
        <f ca="1">OFFSET(RES!AH$95,$E68,0)</f>
        <v>9.1684880345748656</v>
      </c>
      <c r="AF68" s="151">
        <f ca="1">OFFSET(RES!AI$95,$E68,0)</f>
        <v>9.1067631421640556</v>
      </c>
      <c r="AG68" s="151">
        <f ca="1">OFFSET(RES!AJ$95,$E68,0)</f>
        <v>9.0425105885740784</v>
      </c>
      <c r="AH68" s="151">
        <f ca="1">OFFSET(RES!AK$95,$E68,0)</f>
        <v>8.9757303738049377</v>
      </c>
      <c r="AI68" s="151">
        <f ca="1">OFFSET(RES!AL$95,$E68,0)</f>
        <v>8.9064224978566298</v>
      </c>
      <c r="AJ68" s="151">
        <f ca="1">OFFSET(RES!AM$95,$E68,0)</f>
        <v>8.67999968908188</v>
      </c>
      <c r="AK68" s="151">
        <f ca="1">OFFSET(RES!AN$95,$E68,0)</f>
        <v>8.5254966762332938</v>
      </c>
      <c r="AL68" s="151">
        <f ca="1">OFFSET(RES!AO$95,$E68,0)</f>
        <v>8.5254966762332938</v>
      </c>
      <c r="AM68" s="151">
        <f ca="1">OFFSET(RES!AP$95,$E68,0)</f>
        <v>8.5254966762332938</v>
      </c>
    </row>
    <row r="69" spans="1:39">
      <c r="A69" s="36" t="s">
        <v>380</v>
      </c>
      <c r="B69">
        <v>8.0953817121640004</v>
      </c>
      <c r="E69" s="154">
        <f>MATCH(F69,RES!$D$96:$D$134,0)</f>
        <v>3</v>
      </c>
      <c r="F69" s="4" t="str">
        <f t="shared" ref="F69:F131" si="1">A69</f>
        <v>RLEK</v>
      </c>
      <c r="G69" s="151">
        <f ca="1">OFFSET(RES!J$95,$E69,0)</f>
        <v>10.053924891431189</v>
      </c>
      <c r="H69" s="151">
        <f ca="1">OFFSET(RES!K$95,$E69,0)</f>
        <v>10.118379478945931</v>
      </c>
      <c r="I69" s="151">
        <f ca="1">OFFSET(RES!L$95,$E69,0)</f>
        <v>10.182834066460671</v>
      </c>
      <c r="J69" s="151">
        <f ca="1">OFFSET(RES!M$95,$E69,0)</f>
        <v>10.247288653975414</v>
      </c>
      <c r="K69" s="151">
        <f ca="1">OFFSET(RES!N$95,$E69,0)</f>
        <v>10.311743241490154</v>
      </c>
      <c r="L69" s="151">
        <f ca="1">OFFSET(RES!O$95,$E69,0)</f>
        <v>10.376197829004896</v>
      </c>
      <c r="M69" s="151">
        <f ca="1">OFFSET(RES!P$95,$E69,0)</f>
        <v>10.343684833237932</v>
      </c>
      <c r="N69" s="151">
        <f ca="1">OFFSET(RES!Q$95,$E69,0)</f>
        <v>10.308649997432125</v>
      </c>
      <c r="O69" s="245">
        <f ca="1">OFFSET(RES!R$95,$E69,0)</f>
        <v>10.271093321587475</v>
      </c>
      <c r="P69" s="151">
        <f ca="1">OFFSET(RES!S$95,$E69,0)</f>
        <v>10.259321886879334</v>
      </c>
      <c r="Q69" s="151">
        <f ca="1">OFFSET(RES!T$95,$E69,0)</f>
        <v>10.245501599348923</v>
      </c>
      <c r="R69" s="151">
        <f ca="1">OFFSET(RES!U$95,$E69,0)</f>
        <v>10.229632458996244</v>
      </c>
      <c r="S69" s="151">
        <f ca="1">OFFSET(RES!V$95,$E69,0)</f>
        <v>10.211714465821293</v>
      </c>
      <c r="T69" s="245">
        <f ca="1">OFFSET(RES!W$95,$E69,0)</f>
        <v>10.191747619824078</v>
      </c>
      <c r="U69" s="151">
        <f ca="1">OFFSET(RES!X$95,$E69,0)</f>
        <v>10.132152770575269</v>
      </c>
      <c r="V69" s="151">
        <f ca="1">OFFSET(RES!Y$95,$E69,0)</f>
        <v>10.069460902063614</v>
      </c>
      <c r="W69" s="151">
        <f ca="1">OFFSET(RES!Z$95,$E69,0)</f>
        <v>10.003672014289117</v>
      </c>
      <c r="X69" s="151">
        <f ca="1">OFFSET(RES!AA$95,$E69,0)</f>
        <v>9.9347861072517762</v>
      </c>
      <c r="Y69" s="247">
        <f ca="1">OFFSET(RES!AB$95,$E69,0)</f>
        <v>9.8628031809515928</v>
      </c>
      <c r="Z69" s="151">
        <f ca="1">OFFSET(RES!AC$95,$E69,0)</f>
        <v>9.7985767473616079</v>
      </c>
      <c r="AA69" s="151">
        <f ca="1">OFFSET(RES!AD$95,$E69,0)</f>
        <v>9.7316077083764227</v>
      </c>
      <c r="AB69" s="151">
        <f ca="1">OFFSET(RES!AE$95,$E69,0)</f>
        <v>9.6618960639960374</v>
      </c>
      <c r="AC69" s="151">
        <f ca="1">OFFSET(RES!AF$95,$E69,0)</f>
        <v>9.5894418142204518</v>
      </c>
      <c r="AD69" s="151">
        <f ca="1">OFFSET(RES!AG$95,$E69,0)</f>
        <v>9.5142449590496714</v>
      </c>
      <c r="AE69" s="151">
        <f ca="1">OFFSET(RES!AH$95,$E69,0)</f>
        <v>9.453209396759485</v>
      </c>
      <c r="AF69" s="151">
        <f ca="1">OFFSET(RES!AI$95,$E69,0)</f>
        <v>9.3895676784356521</v>
      </c>
      <c r="AG69" s="151">
        <f ca="1">OFFSET(RES!AJ$95,$E69,0)</f>
        <v>9.3233198040781744</v>
      </c>
      <c r="AH69" s="151">
        <f ca="1">OFFSET(RES!AK$95,$E69,0)</f>
        <v>9.2544657736870537</v>
      </c>
      <c r="AI69" s="151">
        <f ca="1">OFFSET(RES!AL$95,$E69,0)</f>
        <v>9.1830055872622847</v>
      </c>
      <c r="AJ69" s="151">
        <f ca="1">OFFSET(RES!AM$95,$E69,0)</f>
        <v>8.9495513671685796</v>
      </c>
      <c r="AK69" s="151">
        <f ca="1">OFFSET(RES!AN$95,$E69,0)</f>
        <v>8.7902503649335237</v>
      </c>
      <c r="AL69" s="151">
        <f ca="1">OFFSET(RES!AO$95,$E69,0)</f>
        <v>8.7902503649335237</v>
      </c>
      <c r="AM69" s="151">
        <f ca="1">OFFSET(RES!AP$95,$E69,0)</f>
        <v>8.7902503649335237</v>
      </c>
    </row>
    <row r="70" spans="1:39">
      <c r="A70" s="36" t="s">
        <v>381</v>
      </c>
      <c r="B70">
        <v>8.4652619723960001</v>
      </c>
      <c r="E70" s="154">
        <f>MATCH(F70,RES!$D$96:$D$134,0)</f>
        <v>1</v>
      </c>
      <c r="F70" s="4" t="str">
        <f t="shared" si="1"/>
        <v>RLEL</v>
      </c>
      <c r="G70" s="151">
        <f ca="1">OFFSET(RES!J$95,$E70,0)</f>
        <v>10.669591824450372</v>
      </c>
      <c r="H70" s="151">
        <f ca="1">OFFSET(RES!K$95,$E70,0)</f>
        <v>11.660595758588318</v>
      </c>
      <c r="I70" s="151">
        <f ca="1">OFFSET(RES!L$95,$E70,0)</f>
        <v>12.651599692726267</v>
      </c>
      <c r="J70" s="151">
        <f ca="1">OFFSET(RES!M$95,$E70,0)</f>
        <v>13.642603626864213</v>
      </c>
      <c r="K70" s="151">
        <f ca="1">OFFSET(RES!N$95,$E70,0)</f>
        <v>14.633607561002162</v>
      </c>
      <c r="L70" s="151">
        <f ca="1">OFFSET(RES!O$95,$E70,0)</f>
        <v>15.624611495140108</v>
      </c>
      <c r="M70" s="151">
        <f ca="1">OFFSET(RES!P$95,$E70,0)</f>
        <v>15.575653009982673</v>
      </c>
      <c r="N70" s="151">
        <f ca="1">OFFSET(RES!Q$95,$E70,0)</f>
        <v>15.522897105817895</v>
      </c>
      <c r="O70" s="245">
        <f ca="1">OFFSET(RES!R$95,$E70,0)</f>
        <v>15.466343782645774</v>
      </c>
      <c r="P70" s="151">
        <f ca="1">OFFSET(RES!S$95,$E70,0)</f>
        <v>15.448618205600493</v>
      </c>
      <c r="Q70" s="151">
        <f ca="1">OFFSET(RES!T$95,$E70,0)</f>
        <v>15.427807439752314</v>
      </c>
      <c r="R70" s="151">
        <f ca="1">OFFSET(RES!U$95,$E70,0)</f>
        <v>15.403911485101242</v>
      </c>
      <c r="S70" s="151">
        <f ca="1">OFFSET(RES!V$95,$E70,0)</f>
        <v>15.37693034164727</v>
      </c>
      <c r="T70" s="245">
        <f ca="1">OFFSET(RES!W$95,$E70,0)</f>
        <v>15.346864009390409</v>
      </c>
      <c r="U70" s="151">
        <f ca="1">OFFSET(RES!X$95,$E70,0)</f>
        <v>15.257125322641278</v>
      </c>
      <c r="V70" s="151">
        <f ca="1">OFFSET(RES!Y$95,$E70,0)</f>
        <v>15.162723104647624</v>
      </c>
      <c r="W70" s="151">
        <f ca="1">OFFSET(RES!Z$95,$E70,0)</f>
        <v>15.063657355409449</v>
      </c>
      <c r="X70" s="151">
        <f ca="1">OFFSET(RES!AA$95,$E70,0)</f>
        <v>14.959928074926752</v>
      </c>
      <c r="Y70" s="247">
        <f ca="1">OFFSET(RES!AB$95,$E70,0)</f>
        <v>14.851535263199537</v>
      </c>
      <c r="Z70" s="151">
        <f ca="1">OFFSET(RES!AC$95,$E70,0)</f>
        <v>14.754822277470142</v>
      </c>
      <c r="AA70" s="151">
        <f ca="1">OFFSET(RES!AD$95,$E70,0)</f>
        <v>14.653979441434242</v>
      </c>
      <c r="AB70" s="151">
        <f ca="1">OFFSET(RES!AE$95,$E70,0)</f>
        <v>14.549006755091835</v>
      </c>
      <c r="AC70" s="151">
        <f ca="1">OFFSET(RES!AF$95,$E70,0)</f>
        <v>14.439904218442923</v>
      </c>
      <c r="AD70" s="151">
        <f ca="1">OFFSET(RES!AG$95,$E70,0)</f>
        <v>14.326671831487513</v>
      </c>
      <c r="AE70" s="151">
        <f ca="1">OFFSET(RES!AH$95,$E70,0)</f>
        <v>14.234763700601091</v>
      </c>
      <c r="AF70" s="151">
        <f ca="1">OFFSET(RES!AI$95,$E70,0)</f>
        <v>14.138931186603198</v>
      </c>
      <c r="AG70" s="151">
        <f ca="1">OFFSET(RES!AJ$95,$E70,0)</f>
        <v>14.039174289493834</v>
      </c>
      <c r="AH70" s="151">
        <f ca="1">OFFSET(RES!AK$95,$E70,0)</f>
        <v>13.935493009273003</v>
      </c>
      <c r="AI70" s="151">
        <f ca="1">OFFSET(RES!AL$95,$E70,0)</f>
        <v>13.827887345940697</v>
      </c>
      <c r="AJ70" s="151">
        <f ca="1">OFFSET(RES!AM$95,$E70,0)</f>
        <v>13.47634899335949</v>
      </c>
      <c r="AK70" s="151">
        <f ca="1">OFFSET(RES!AN$95,$E70,0)</f>
        <v>13.236471505311645</v>
      </c>
      <c r="AL70" s="151">
        <f ca="1">OFFSET(RES!AO$95,$E70,0)</f>
        <v>13.236471505311645</v>
      </c>
      <c r="AM70" s="151">
        <f ca="1">OFFSET(RES!AP$95,$E70,0)</f>
        <v>13.236471505311645</v>
      </c>
    </row>
    <row r="71" spans="1:39">
      <c r="A71" s="36" t="s">
        <v>382</v>
      </c>
      <c r="B71">
        <v>1.2001829018570001</v>
      </c>
      <c r="E71" s="154">
        <f>MATCH(F71,RES!$D$96:$D$134,0)</f>
        <v>8</v>
      </c>
      <c r="F71" s="4" t="str">
        <f t="shared" si="1"/>
        <v>RLEO</v>
      </c>
      <c r="G71" s="151">
        <f ca="1">OFFSET(RES!J$95,$E71,0)</f>
        <v>1.7509162280520163</v>
      </c>
      <c r="H71" s="151">
        <f ca="1">OFFSET(RES!K$95,$E71,0)</f>
        <v>1.8325463231967081</v>
      </c>
      <c r="I71" s="151">
        <f ca="1">OFFSET(RES!L$95,$E71,0)</f>
        <v>1.9141764183413998</v>
      </c>
      <c r="J71" s="151">
        <f ca="1">OFFSET(RES!M$95,$E71,0)</f>
        <v>1.9958065134860918</v>
      </c>
      <c r="K71" s="151">
        <f ca="1">OFFSET(RES!N$95,$E71,0)</f>
        <v>2.0774366086307836</v>
      </c>
      <c r="L71" s="151">
        <f ca="1">OFFSET(RES!O$95,$E71,0)</f>
        <v>2.1590667037754754</v>
      </c>
      <c r="M71" s="151">
        <f ca="1">OFFSET(RES!P$95,$E71,0)</f>
        <v>2.1523014389109005</v>
      </c>
      <c r="N71" s="151">
        <f ca="1">OFFSET(RES!Q$95,$E71,0)</f>
        <v>2.1450114326188934</v>
      </c>
      <c r="O71" s="245">
        <f ca="1">OFFSET(RES!R$95,$E71,0)</f>
        <v>2.1371966848994535</v>
      </c>
      <c r="P71" s="151">
        <f ca="1">OFFSET(RES!S$95,$E71,0)</f>
        <v>2.1347472989921252</v>
      </c>
      <c r="Q71" s="151">
        <f ca="1">OFFSET(RES!T$95,$E71,0)</f>
        <v>2.1318715902657455</v>
      </c>
      <c r="R71" s="151">
        <f ca="1">OFFSET(RES!U$95,$E71,0)</f>
        <v>2.1285695587203142</v>
      </c>
      <c r="S71" s="151">
        <f ca="1">OFFSET(RES!V$95,$E71,0)</f>
        <v>2.1248412043558309</v>
      </c>
      <c r="T71" s="245">
        <f ca="1">OFFSET(RES!W$95,$E71,0)</f>
        <v>2.120686527172297</v>
      </c>
      <c r="U71" s="151">
        <f ca="1">OFFSET(RES!X$95,$E71,0)</f>
        <v>2.1082861029658551</v>
      </c>
      <c r="V71" s="151">
        <f ca="1">OFFSET(RES!Y$95,$E71,0)</f>
        <v>2.0952412547342014</v>
      </c>
      <c r="W71" s="151">
        <f ca="1">OFFSET(RES!Z$95,$E71,0)</f>
        <v>2.0815519824773365</v>
      </c>
      <c r="X71" s="151">
        <f ca="1">OFFSET(RES!AA$95,$E71,0)</f>
        <v>2.0672182861952604</v>
      </c>
      <c r="Y71" s="247">
        <f ca="1">OFFSET(RES!AB$95,$E71,0)</f>
        <v>2.052240165887973</v>
      </c>
      <c r="Z71" s="151">
        <f ca="1">OFFSET(RES!AC$95,$E71,0)</f>
        <v>2.0388760072094678</v>
      </c>
      <c r="AA71" s="151">
        <f ca="1">OFFSET(RES!AD$95,$E71,0)</f>
        <v>2.0249411705149925</v>
      </c>
      <c r="AB71" s="151">
        <f ca="1">OFFSET(RES!AE$95,$E71,0)</f>
        <v>2.0104356558045464</v>
      </c>
      <c r="AC71" s="151">
        <f ca="1">OFFSET(RES!AF$95,$E71,0)</f>
        <v>1.9953594630781302</v>
      </c>
      <c r="AD71" s="151">
        <f ca="1">OFFSET(RES!AG$95,$E71,0)</f>
        <v>1.9797125923357448</v>
      </c>
      <c r="AE71" s="151">
        <f ca="1">OFFSET(RES!AH$95,$E71,0)</f>
        <v>1.9670123863008726</v>
      </c>
      <c r="AF71" s="151">
        <f ca="1">OFFSET(RES!AI$95,$E71,0)</f>
        <v>1.9537698944682722</v>
      </c>
      <c r="AG71" s="151">
        <f ca="1">OFFSET(RES!AJ$95,$E71,0)</f>
        <v>1.9399851168379434</v>
      </c>
      <c r="AH71" s="151">
        <f ca="1">OFFSET(RES!AK$95,$E71,0)</f>
        <v>1.9256580534098868</v>
      </c>
      <c r="AI71" s="151">
        <f ca="1">OFFSET(RES!AL$95,$E71,0)</f>
        <v>1.9107887041841018</v>
      </c>
      <c r="AJ71" s="151">
        <f ca="1">OFFSET(RES!AM$95,$E71,0)</f>
        <v>1.8622118322155257</v>
      </c>
      <c r="AK71" s="151">
        <f ca="1">OFFSET(RES!AN$95,$E71,0)</f>
        <v>1.8290646721987474</v>
      </c>
      <c r="AL71" s="151">
        <f ca="1">OFFSET(RES!AO$95,$E71,0)</f>
        <v>1.8290646721987474</v>
      </c>
      <c r="AM71" s="151">
        <f ca="1">OFFSET(RES!AP$95,$E71,0)</f>
        <v>1.8290646721987474</v>
      </c>
    </row>
    <row r="72" spans="1:39">
      <c r="A72" s="36" t="s">
        <v>383</v>
      </c>
      <c r="B72">
        <v>1.9088027674250001</v>
      </c>
      <c r="E72" s="154">
        <f>MATCH(F72,RES!$D$96:$D$134,0)</f>
        <v>7</v>
      </c>
      <c r="F72" s="4" t="str">
        <f t="shared" si="1"/>
        <v>RLER</v>
      </c>
      <c r="G72" s="151">
        <f ca="1">OFFSET(RES!J$95,$E72,0)</f>
        <v>1.2642587754949401</v>
      </c>
      <c r="H72" s="151">
        <f ca="1">OFFSET(RES!K$95,$E72,0)</f>
        <v>1.4308973056613448</v>
      </c>
      <c r="I72" s="151">
        <f ca="1">OFFSET(RES!L$95,$E72,0)</f>
        <v>1.5975358358277494</v>
      </c>
      <c r="J72" s="151">
        <f ca="1">OFFSET(RES!M$95,$E72,0)</f>
        <v>1.7641743659941542</v>
      </c>
      <c r="K72" s="151">
        <f ca="1">OFFSET(RES!N$95,$E72,0)</f>
        <v>1.9308128961605588</v>
      </c>
      <c r="L72" s="151">
        <f ca="1">OFFSET(RES!O$95,$E72,0)</f>
        <v>2.0974514263269635</v>
      </c>
      <c r="M72" s="151">
        <f ca="1">OFFSET(RES!P$95,$E72,0)</f>
        <v>2.0908792280642285</v>
      </c>
      <c r="N72" s="151">
        <f ca="1">OFFSET(RES!Q$95,$E72,0)</f>
        <v>2.0837972634040511</v>
      </c>
      <c r="O72" s="245">
        <f ca="1">OFFSET(RES!R$95,$E72,0)</f>
        <v>2.0762055323464317</v>
      </c>
      <c r="P72" s="151">
        <f ca="1">OFFSET(RES!S$95,$E72,0)</f>
        <v>2.0738260468233736</v>
      </c>
      <c r="Q72" s="151">
        <f ca="1">OFFSET(RES!T$95,$E72,0)</f>
        <v>2.0710324048486726</v>
      </c>
      <c r="R72" s="151">
        <f ca="1">OFFSET(RES!U$95,$E72,0)</f>
        <v>2.0678246064223291</v>
      </c>
      <c r="S72" s="151">
        <f ca="1">OFFSET(RES!V$95,$E72,0)</f>
        <v>2.0642026515443428</v>
      </c>
      <c r="T72" s="245">
        <f ca="1">OFFSET(RES!W$95,$E72,0)</f>
        <v>2.0601665402147145</v>
      </c>
      <c r="U72" s="151">
        <f ca="1">OFFSET(RES!X$95,$E72,0)</f>
        <v>2.0481199983485556</v>
      </c>
      <c r="V72" s="151">
        <f ca="1">OFFSET(RES!Y$95,$E72,0)</f>
        <v>2.0354474229798298</v>
      </c>
      <c r="W72" s="151">
        <f ca="1">OFFSET(RES!Z$95,$E72,0)</f>
        <v>2.022148814108538</v>
      </c>
      <c r="X72" s="151">
        <f ca="1">OFFSET(RES!AA$95,$E72,0)</f>
        <v>2.0082241717346796</v>
      </c>
      <c r="Y72" s="247">
        <f ca="1">OFFSET(RES!AB$95,$E72,0)</f>
        <v>1.9936734958582552</v>
      </c>
      <c r="Z72" s="151">
        <f ca="1">OFFSET(RES!AC$95,$E72,0)</f>
        <v>1.9806907224993429</v>
      </c>
      <c r="AA72" s="151">
        <f ca="1">OFFSET(RES!AD$95,$E72,0)</f>
        <v>1.9671535570892369</v>
      </c>
      <c r="AB72" s="151">
        <f ca="1">OFFSET(RES!AE$95,$E72,0)</f>
        <v>1.9530619996279368</v>
      </c>
      <c r="AC72" s="151">
        <f ca="1">OFFSET(RES!AF$95,$E72,0)</f>
        <v>1.938416050115443</v>
      </c>
      <c r="AD72" s="151">
        <f ca="1">OFFSET(RES!AG$95,$E72,0)</f>
        <v>1.9232157085517567</v>
      </c>
      <c r="AE72" s="151">
        <f ca="1">OFFSET(RES!AH$95,$E72,0)</f>
        <v>1.9108779400076408</v>
      </c>
      <c r="AF72" s="151">
        <f ca="1">OFFSET(RES!AI$95,$E72,0)</f>
        <v>1.8980133613756602</v>
      </c>
      <c r="AG72" s="151">
        <f ca="1">OFFSET(RES!AJ$95,$E72,0)</f>
        <v>1.8846219726558147</v>
      </c>
      <c r="AH72" s="151">
        <f ca="1">OFFSET(RES!AK$95,$E72,0)</f>
        <v>1.8707037738481047</v>
      </c>
      <c r="AI72" s="151">
        <f ca="1">OFFSET(RES!AL$95,$E72,0)</f>
        <v>1.8562587649525297</v>
      </c>
      <c r="AJ72" s="151">
        <f ca="1">OFFSET(RES!AM$95,$E72,0)</f>
        <v>1.8090681759731224</v>
      </c>
      <c r="AK72" s="151">
        <f ca="1">OFFSET(RES!AN$95,$E72,0)</f>
        <v>1.7768669670274679</v>
      </c>
      <c r="AL72" s="151">
        <f ca="1">OFFSET(RES!AO$95,$E72,0)</f>
        <v>1.7768669670274679</v>
      </c>
      <c r="AM72" s="151">
        <f ca="1">OFFSET(RES!AP$95,$E72,0)</f>
        <v>1.7768669670274679</v>
      </c>
    </row>
    <row r="73" spans="1:39">
      <c r="A73" s="36" t="s">
        <v>384</v>
      </c>
      <c r="B73">
        <v>7.6914136780069997</v>
      </c>
      <c r="E73" s="154">
        <f>MATCH(F73,RES!$D$96:$D$134,0)</f>
        <v>6</v>
      </c>
      <c r="F73" s="4" t="str">
        <f t="shared" si="1"/>
        <v>RLEW</v>
      </c>
      <c r="G73" s="151">
        <f ca="1">OFFSET(RES!J$95,$E73,0)</f>
        <v>5.6486911771289003</v>
      </c>
      <c r="H73" s="151">
        <f ca="1">OFFSET(RES!K$95,$E73,0)</f>
        <v>5.7273475681852952</v>
      </c>
      <c r="I73" s="151">
        <f ca="1">OFFSET(RES!L$95,$E73,0)</f>
        <v>5.8060039592416901</v>
      </c>
      <c r="J73" s="151">
        <f ca="1">OFFSET(RES!M$95,$E73,0)</f>
        <v>5.8846603502980841</v>
      </c>
      <c r="K73" s="151">
        <f ca="1">OFFSET(RES!N$95,$E73,0)</f>
        <v>5.963316741354479</v>
      </c>
      <c r="L73" s="151">
        <f ca="1">OFFSET(RES!O$95,$E73,0)</f>
        <v>6.0419731324108739</v>
      </c>
      <c r="M73" s="151">
        <f ca="1">OFFSET(RES!P$95,$E73,0)</f>
        <v>6.023041087155427</v>
      </c>
      <c r="N73" s="151">
        <f ca="1">OFFSET(RES!Q$95,$E73,0)</f>
        <v>6.0026405955567226</v>
      </c>
      <c r="O73" s="245">
        <f ca="1">OFFSET(RES!R$95,$E73,0)</f>
        <v>5.9807716576147589</v>
      </c>
      <c r="P73" s="151">
        <f ca="1">OFFSET(RES!S$95,$E73,0)</f>
        <v>5.9739172497277293</v>
      </c>
      <c r="Q73" s="151">
        <f ca="1">OFFSET(RES!T$95,$E73,0)</f>
        <v>5.9658698119940805</v>
      </c>
      <c r="R73" s="151">
        <f ca="1">OFFSET(RES!U$95,$E73,0)</f>
        <v>5.9566293444138143</v>
      </c>
      <c r="S73" s="151">
        <f ca="1">OFFSET(RES!V$95,$E73,0)</f>
        <v>5.9461958469869298</v>
      </c>
      <c r="T73" s="245">
        <f ca="1">OFFSET(RES!W$95,$E73,0)</f>
        <v>5.9345693197134297</v>
      </c>
      <c r="U73" s="151">
        <f ca="1">OFFSET(RES!X$95,$E73,0)</f>
        <v>5.8998677378888367</v>
      </c>
      <c r="V73" s="151">
        <f ca="1">OFFSET(RES!Y$95,$E73,0)</f>
        <v>5.8633627876739105</v>
      </c>
      <c r="W73" s="151">
        <f ca="1">OFFSET(RES!Z$95,$E73,0)</f>
        <v>5.8250544690686521</v>
      </c>
      <c r="X73" s="151">
        <f ca="1">OFFSET(RES!AA$95,$E73,0)</f>
        <v>5.7849427820730615</v>
      </c>
      <c r="Y73" s="247">
        <f ca="1">OFFSET(RES!AB$95,$E73,0)</f>
        <v>5.7430277266871395</v>
      </c>
      <c r="Z73" s="151">
        <f ca="1">OFFSET(RES!AC$95,$E73,0)</f>
        <v>5.7056292120735765</v>
      </c>
      <c r="AA73" s="151">
        <f ca="1">OFFSET(RES!AD$95,$E73,0)</f>
        <v>5.666633701297866</v>
      </c>
      <c r="AB73" s="151">
        <f ca="1">OFFSET(RES!AE$95,$E73,0)</f>
        <v>5.626041194360007</v>
      </c>
      <c r="AC73" s="151">
        <f ca="1">OFFSET(RES!AF$95,$E73,0)</f>
        <v>5.5838516912600014</v>
      </c>
      <c r="AD73" s="151">
        <f ca="1">OFFSET(RES!AG$95,$E73,0)</f>
        <v>5.5400651919978507</v>
      </c>
      <c r="AE73" s="151">
        <f ca="1">OFFSET(RES!AH$95,$E73,0)</f>
        <v>5.5045246950300646</v>
      </c>
      <c r="AF73" s="151">
        <f ca="1">OFFSET(RES!AI$95,$E73,0)</f>
        <v>5.4674666552210907</v>
      </c>
      <c r="AG73" s="151">
        <f ca="1">OFFSET(RES!AJ$95,$E73,0)</f>
        <v>5.4288910725709281</v>
      </c>
      <c r="AH73" s="151">
        <f ca="1">OFFSET(RES!AK$95,$E73,0)</f>
        <v>5.3887979470795786</v>
      </c>
      <c r="AI73" s="151">
        <f ca="1">OFFSET(RES!AL$95,$E73,0)</f>
        <v>5.3471872787470405</v>
      </c>
      <c r="AJ73" s="151">
        <f ca="1">OFFSET(RES!AM$95,$E73,0)</f>
        <v>5.2112488407277482</v>
      </c>
      <c r="AK73" s="151">
        <f ca="1">OFFSET(RES!AN$95,$E73,0)</f>
        <v>5.1184892007004681</v>
      </c>
      <c r="AL73" s="151">
        <f ca="1">OFFSET(RES!AO$95,$E73,0)</f>
        <v>5.1184892007004681</v>
      </c>
      <c r="AM73" s="151">
        <f ca="1">OFFSET(RES!AP$95,$E73,0)</f>
        <v>5.1184892007004681</v>
      </c>
    </row>
    <row r="74" spans="1:39">
      <c r="A74" s="36" t="s">
        <v>385</v>
      </c>
      <c r="B74">
        <v>0.1043575899953</v>
      </c>
      <c r="E74" s="154">
        <f>MATCH(F74,RES!$D$96:$D$134,0)</f>
        <v>2</v>
      </c>
      <c r="F74" s="4" t="str">
        <f t="shared" si="1"/>
        <v>RLNL</v>
      </c>
      <c r="G74" s="151">
        <f ca="1">OFFSET(RES!J$95,$E74,0)</f>
        <v>4.742986727829742E-2</v>
      </c>
      <c r="H74" s="151">
        <f ca="1">OFFSET(RES!K$95,$E74,0)</f>
        <v>4.4891195588489731E-2</v>
      </c>
      <c r="I74" s="151">
        <f ca="1">OFFSET(RES!L$95,$E74,0)</f>
        <v>4.2352523898682035E-2</v>
      </c>
      <c r="J74" s="151">
        <f ca="1">OFFSET(RES!M$95,$E74,0)</f>
        <v>3.9813852208874345E-2</v>
      </c>
      <c r="K74" s="151">
        <f ca="1">OFFSET(RES!N$95,$E74,0)</f>
        <v>3.7275180519066656E-2</v>
      </c>
      <c r="L74" s="151">
        <f ca="1">OFFSET(RES!O$95,$E74,0)</f>
        <v>3.4736508829258959E-2</v>
      </c>
      <c r="M74" s="151">
        <f ca="1">OFFSET(RES!P$95,$E74,0)</f>
        <v>3.4627664724401222E-2</v>
      </c>
      <c r="N74" s="151">
        <f ca="1">OFFSET(RES!Q$95,$E74,0)</f>
        <v>3.4510378228581128E-2</v>
      </c>
      <c r="O74" s="245">
        <f ca="1">OFFSET(RES!R$95,$E74,0)</f>
        <v>3.4384649341798669E-2</v>
      </c>
      <c r="P74" s="151">
        <f ca="1">OFFSET(RES!S$95,$E74,0)</f>
        <v>3.4345241983495478E-2</v>
      </c>
      <c r="Q74" s="151">
        <f ca="1">OFFSET(RES!T$95,$E74,0)</f>
        <v>3.4298975658610939E-2</v>
      </c>
      <c r="R74" s="151">
        <f ca="1">OFFSET(RES!U$95,$E74,0)</f>
        <v>3.4245850367145052E-2</v>
      </c>
      <c r="S74" s="151">
        <f ca="1">OFFSET(RES!V$95,$E74,0)</f>
        <v>3.4185866109097809E-2</v>
      </c>
      <c r="T74" s="245">
        <f ca="1">OFFSET(RES!W$95,$E74,0)</f>
        <v>3.4119022884469233E-2</v>
      </c>
      <c r="U74" s="151">
        <f ca="1">OFFSET(RES!X$95,$E74,0)</f>
        <v>3.391951656806854E-2</v>
      </c>
      <c r="V74" s="151">
        <f ca="1">OFFSET(RES!Y$95,$E74,0)</f>
        <v>3.3709642327044487E-2</v>
      </c>
      <c r="W74" s="151">
        <f ca="1">OFFSET(RES!Z$95,$E74,0)</f>
        <v>3.3489400161397079E-2</v>
      </c>
      <c r="X74" s="151">
        <f ca="1">OFFSET(RES!AA$95,$E74,0)</f>
        <v>3.3258790071126317E-2</v>
      </c>
      <c r="Y74" s="247">
        <f ca="1">OFFSET(RES!AB$95,$E74,0)</f>
        <v>3.30178120562322E-2</v>
      </c>
      <c r="Z74" s="151">
        <f ca="1">OFFSET(RES!AC$95,$E74,0)</f>
        <v>3.2802800535226502E-2</v>
      </c>
      <c r="AA74" s="151">
        <f ca="1">OFFSET(RES!AD$95,$E74,0)</f>
        <v>3.2578607564705722E-2</v>
      </c>
      <c r="AB74" s="151">
        <f ca="1">OFFSET(RES!AE$95,$E74,0)</f>
        <v>3.2345233144669853E-2</v>
      </c>
      <c r="AC74" s="151">
        <f ca="1">OFFSET(RES!AF$95,$E74,0)</f>
        <v>3.2102677275118903E-2</v>
      </c>
      <c r="AD74" s="151">
        <f ca="1">OFFSET(RES!AG$95,$E74,0)</f>
        <v>3.1850939956052884E-2</v>
      </c>
      <c r="AE74" s="151">
        <f ca="1">OFFSET(RES!AH$95,$E74,0)</f>
        <v>3.1646610549141876E-2</v>
      </c>
      <c r="AF74" s="151">
        <f ca="1">OFFSET(RES!AI$95,$E74,0)</f>
        <v>3.143355648570783E-2</v>
      </c>
      <c r="AG74" s="151">
        <f ca="1">OFFSET(RES!AJ$95,$E74,0)</f>
        <v>3.1211777765750747E-2</v>
      </c>
      <c r="AH74" s="151">
        <f ca="1">OFFSET(RES!AK$95,$E74,0)</f>
        <v>3.0981274389270633E-2</v>
      </c>
      <c r="AI74" s="151">
        <f ca="1">OFFSET(RES!AL$95,$E74,0)</f>
        <v>3.0742046356267476E-2</v>
      </c>
      <c r="AJ74" s="151">
        <f ca="1">OFFSET(RES!AM$95,$E74,0)</f>
        <v>2.9960509158234849E-2</v>
      </c>
      <c r="AK74" s="151">
        <f ca="1">OFFSET(RES!AN$95,$E74,0)</f>
        <v>2.9427215483438122E-2</v>
      </c>
      <c r="AL74" s="151">
        <f ca="1">OFFSET(RES!AO$95,$E74,0)</f>
        <v>2.9427215483438122E-2</v>
      </c>
      <c r="AM74" s="151">
        <f ca="1">OFFSET(RES!AP$95,$E74,0)</f>
        <v>2.9427215483438122E-2</v>
      </c>
    </row>
    <row r="75" spans="1:39">
      <c r="A75" s="36" t="s">
        <v>386</v>
      </c>
      <c r="B75">
        <v>12.72538201427</v>
      </c>
      <c r="E75" s="154">
        <f>MATCH(F75,RES!$D$96:$D$134,0)</f>
        <v>15</v>
      </c>
      <c r="F75" s="4" t="str">
        <f t="shared" si="1"/>
        <v>RMEH</v>
      </c>
      <c r="G75" s="151">
        <f ca="1">OFFSET(RES!J$95,$E75,0)</f>
        <v>13.160101387439708</v>
      </c>
      <c r="H75" s="151">
        <f ca="1">OFFSET(RES!K$95,$E75,0)</f>
        <v>13.113838780615991</v>
      </c>
      <c r="I75" s="151">
        <f ca="1">OFFSET(RES!L$95,$E75,0)</f>
        <v>13.067576173792274</v>
      </c>
      <c r="J75" s="151">
        <f ca="1">OFFSET(RES!M$95,$E75,0)</f>
        <v>13.021313566968555</v>
      </c>
      <c r="K75" s="151">
        <f ca="1">OFFSET(RES!N$95,$E75,0)</f>
        <v>12.975050960144838</v>
      </c>
      <c r="L75" s="151">
        <f ca="1">OFFSET(RES!O$95,$E75,0)</f>
        <v>12.928788353321121</v>
      </c>
      <c r="M75" s="151">
        <f ca="1">OFFSET(RES!P$95,$E75,0)</f>
        <v>13.241255375346501</v>
      </c>
      <c r="N75" s="151">
        <f ca="1">OFFSET(RES!Q$95,$E75,0)</f>
        <v>13.558455360155419</v>
      </c>
      <c r="O75" s="245">
        <f ca="1">OFFSET(RES!R$95,$E75,0)</f>
        <v>13.880420829268681</v>
      </c>
      <c r="P75" s="151">
        <f ca="1">OFFSET(RES!S$95,$E75,0)</f>
        <v>14.165926600065458</v>
      </c>
      <c r="Q75" s="151">
        <f ca="1">OFFSET(RES!T$95,$E75,0)</f>
        <v>14.455172065627321</v>
      </c>
      <c r="R75" s="151">
        <f ca="1">OFFSET(RES!U$95,$E75,0)</f>
        <v>14.748180913050597</v>
      </c>
      <c r="S75" s="151">
        <f ca="1">OFFSET(RES!V$95,$E75,0)</f>
        <v>15.044976829431599</v>
      </c>
      <c r="T75" s="245">
        <f ca="1">OFFSET(RES!W$95,$E75,0)</f>
        <v>15.345583501866651</v>
      </c>
      <c r="U75" s="151">
        <f ca="1">OFFSET(RES!X$95,$E75,0)</f>
        <v>15.659465252571223</v>
      </c>
      <c r="V75" s="151">
        <f ca="1">OFFSET(RES!Y$95,$E75,0)</f>
        <v>15.977385602419416</v>
      </c>
      <c r="W75" s="151">
        <f ca="1">OFFSET(RES!Z$95,$E75,0)</f>
        <v>16.299369505192427</v>
      </c>
      <c r="X75" s="151">
        <f ca="1">OFFSET(RES!AA$95,$E75,0)</f>
        <v>16.62544191467147</v>
      </c>
      <c r="Y75" s="247">
        <f ca="1">OFFSET(RES!AB$95,$E75,0)</f>
        <v>16.955627784637745</v>
      </c>
      <c r="Z75" s="151">
        <f ca="1">OFFSET(RES!AC$95,$E75,0)</f>
        <v>17.196332937267915</v>
      </c>
      <c r="AA75" s="151">
        <f ca="1">OFFSET(RES!AD$95,$E75,0)</f>
        <v>17.438606186281692</v>
      </c>
      <c r="AB75" s="151">
        <f ca="1">OFFSET(RES!AE$95,$E75,0)</f>
        <v>17.682447531679067</v>
      </c>
      <c r="AC75" s="151">
        <f ca="1">OFFSET(RES!AF$95,$E75,0)</f>
        <v>17.927856973460038</v>
      </c>
      <c r="AD75" s="151">
        <f ca="1">OFFSET(RES!AG$95,$E75,0)</f>
        <v>18.174834511624606</v>
      </c>
      <c r="AE75" s="151">
        <f ca="1">OFFSET(RES!AH$95,$E75,0)</f>
        <v>18.432904223313407</v>
      </c>
      <c r="AF75" s="151">
        <f ca="1">OFFSET(RES!AI$95,$E75,0)</f>
        <v>18.692662780550801</v>
      </c>
      <c r="AG75" s="151">
        <f ca="1">OFFSET(RES!AJ$95,$E75,0)</f>
        <v>18.954110183336788</v>
      </c>
      <c r="AH75" s="151">
        <f ca="1">OFFSET(RES!AK$95,$E75,0)</f>
        <v>19.217246431671366</v>
      </c>
      <c r="AI75" s="151">
        <f ca="1">OFFSET(RES!AL$95,$E75,0)</f>
        <v>19.482071525554527</v>
      </c>
      <c r="AJ75" s="151">
        <f ca="1">OFFSET(RES!AM$95,$E75,0)</f>
        <v>21.327481788276582</v>
      </c>
      <c r="AK75" s="151">
        <f ca="1">OFFSET(RES!AN$95,$E75,0)</f>
        <v>23.270277583681967</v>
      </c>
      <c r="AL75" s="151">
        <f ca="1">OFFSET(RES!AO$95,$E75,0)</f>
        <v>23.270277583681967</v>
      </c>
      <c r="AM75" s="151">
        <f ca="1">OFFSET(RES!AP$95,$E75,0)</f>
        <v>23.270277583681967</v>
      </c>
    </row>
    <row r="76" spans="1:39">
      <c r="A76" s="36" t="s">
        <v>387</v>
      </c>
      <c r="B76">
        <v>5.0035172999329998</v>
      </c>
      <c r="E76" s="154">
        <f>MATCH(F76,RES!$D$96:$D$134,0)</f>
        <v>14</v>
      </c>
      <c r="F76" s="4" t="str">
        <f t="shared" si="1"/>
        <v>RMEK</v>
      </c>
      <c r="G76" s="151">
        <f ca="1">OFFSET(RES!J$95,$E76,0)</f>
        <v>9.0435120774465076</v>
      </c>
      <c r="H76" s="151">
        <f ca="1">OFFSET(RES!K$95,$E76,0)</f>
        <v>8.9522489563431584</v>
      </c>
      <c r="I76" s="151">
        <f ca="1">OFFSET(RES!L$95,$E76,0)</f>
        <v>8.8609858352398092</v>
      </c>
      <c r="J76" s="151">
        <f ca="1">OFFSET(RES!M$95,$E76,0)</f>
        <v>8.7697227141364582</v>
      </c>
      <c r="K76" s="151">
        <f ca="1">OFFSET(RES!N$95,$E76,0)</f>
        <v>8.678459593033109</v>
      </c>
      <c r="L76" s="151">
        <f ca="1">OFFSET(RES!O$95,$E76,0)</f>
        <v>8.5871964719297598</v>
      </c>
      <c r="M76" s="151">
        <f ca="1">OFFSET(RES!P$95,$E76,0)</f>
        <v>8.7947345362713794</v>
      </c>
      <c r="N76" s="151">
        <f ca="1">OFFSET(RES!Q$95,$E76,0)</f>
        <v>9.0054161961461503</v>
      </c>
      <c r="O76" s="245">
        <f ca="1">OFFSET(RES!R$95,$E76,0)</f>
        <v>9.2192630520846972</v>
      </c>
      <c r="P76" s="151">
        <f ca="1">OFFSET(RES!S$95,$E76,0)</f>
        <v>9.408893671807224</v>
      </c>
      <c r="Q76" s="151">
        <f ca="1">OFFSET(RES!T$95,$E76,0)</f>
        <v>9.6010081664927593</v>
      </c>
      <c r="R76" s="151">
        <f ca="1">OFFSET(RES!U$95,$E76,0)</f>
        <v>9.7956222689187626</v>
      </c>
      <c r="S76" s="151">
        <f ca="1">OFFSET(RES!V$95,$E76,0)</f>
        <v>9.9927517118626881</v>
      </c>
      <c r="T76" s="245">
        <f ca="1">OFFSET(RES!W$95,$E76,0)</f>
        <v>10.192412228101993</v>
      </c>
      <c r="U76" s="151">
        <f ca="1">OFFSET(RES!X$95,$E76,0)</f>
        <v>10.40088994376984</v>
      </c>
      <c r="V76" s="151">
        <f ca="1">OFFSET(RES!Y$95,$E76,0)</f>
        <v>10.612050064267116</v>
      </c>
      <c r="W76" s="151">
        <f ca="1">OFFSET(RES!Z$95,$E76,0)</f>
        <v>10.825909163693112</v>
      </c>
      <c r="X76" s="151">
        <f ca="1">OFFSET(RES!AA$95,$E76,0)</f>
        <v>11.042483816147129</v>
      </c>
      <c r="Y76" s="247">
        <f ca="1">OFFSET(RES!AB$95,$E76,0)</f>
        <v>11.26179059572846</v>
      </c>
      <c r="Z76" s="151">
        <f ca="1">OFFSET(RES!AC$95,$E76,0)</f>
        <v>11.42166500785078</v>
      </c>
      <c r="AA76" s="151">
        <f ca="1">OFFSET(RES!AD$95,$E76,0)</f>
        <v>11.582580936885975</v>
      </c>
      <c r="AB76" s="151">
        <f ca="1">OFFSET(RES!AE$95,$E76,0)</f>
        <v>11.744538382834037</v>
      </c>
      <c r="AC76" s="151">
        <f ca="1">OFFSET(RES!AF$95,$E76,0)</f>
        <v>11.907537345694967</v>
      </c>
      <c r="AD76" s="151">
        <f ca="1">OFFSET(RES!AG$95,$E76,0)</f>
        <v>12.071577825468765</v>
      </c>
      <c r="AE76" s="151">
        <f ca="1">OFFSET(RES!AH$95,$E76,0)</f>
        <v>12.242985637025734</v>
      </c>
      <c r="AF76" s="151">
        <f ca="1">OFFSET(RES!AI$95,$E76,0)</f>
        <v>12.41551516611262</v>
      </c>
      <c r="AG76" s="151">
        <f ca="1">OFFSET(RES!AJ$95,$E76,0)</f>
        <v>12.589166412729423</v>
      </c>
      <c r="AH76" s="151">
        <f ca="1">OFFSET(RES!AK$95,$E76,0)</f>
        <v>12.763939376876143</v>
      </c>
      <c r="AI76" s="151">
        <f ca="1">OFFSET(RES!AL$95,$E76,0)</f>
        <v>12.939834058552774</v>
      </c>
      <c r="AJ76" s="151">
        <f ca="1">OFFSET(RES!AM$95,$E76,0)</f>
        <v>14.165540603067372</v>
      </c>
      <c r="AK76" s="151">
        <f ca="1">OFFSET(RES!AN$95,$E76,0)</f>
        <v>15.455929829347774</v>
      </c>
      <c r="AL76" s="151">
        <f ca="1">OFFSET(RES!AO$95,$E76,0)</f>
        <v>15.455929829347774</v>
      </c>
      <c r="AM76" s="151">
        <f ca="1">OFFSET(RES!AP$95,$E76,0)</f>
        <v>15.455929829347774</v>
      </c>
    </row>
    <row r="77" spans="1:39">
      <c r="A77" s="36" t="s">
        <v>388</v>
      </c>
      <c r="B77">
        <v>15.793352715539999</v>
      </c>
      <c r="E77" s="154">
        <f>MATCH(F77,RES!$D$96:$D$134,0)</f>
        <v>12</v>
      </c>
      <c r="F77" s="4" t="str">
        <f t="shared" si="1"/>
        <v>RMEL</v>
      </c>
      <c r="G77" s="151">
        <f ca="1">OFFSET(RES!J$95,$E77,0)</f>
        <v>16.038929939348595</v>
      </c>
      <c r="H77" s="151">
        <f ca="1">OFFSET(RES!K$95,$E77,0)</f>
        <v>17.205067118497315</v>
      </c>
      <c r="I77" s="151">
        <f ca="1">OFFSET(RES!L$95,$E77,0)</f>
        <v>18.371204297646038</v>
      </c>
      <c r="J77" s="151">
        <f ca="1">OFFSET(RES!M$95,$E77,0)</f>
        <v>19.537341476794758</v>
      </c>
      <c r="K77" s="151">
        <f ca="1">OFFSET(RES!N$95,$E77,0)</f>
        <v>20.703478655943478</v>
      </c>
      <c r="L77" s="151">
        <f ca="1">OFFSET(RES!O$95,$E77,0)</f>
        <v>21.869615835092201</v>
      </c>
      <c r="M77" s="151">
        <f ca="1">OFFSET(RES!P$95,$E77,0)</f>
        <v>22.398167586894601</v>
      </c>
      <c r="N77" s="151">
        <f ca="1">OFFSET(RES!Q$95,$E77,0)</f>
        <v>22.9347253540334</v>
      </c>
      <c r="O77" s="245">
        <f ca="1">OFFSET(RES!R$95,$E77,0)</f>
        <v>23.479344148095688</v>
      </c>
      <c r="P77" s="151">
        <f ca="1">OFFSET(RES!S$95,$E77,0)</f>
        <v>23.962289754086946</v>
      </c>
      <c r="Q77" s="151">
        <f ca="1">OFFSET(RES!T$95,$E77,0)</f>
        <v>24.451561218744764</v>
      </c>
      <c r="R77" s="151">
        <f ca="1">OFFSET(RES!U$95,$E77,0)</f>
        <v>24.947198609837496</v>
      </c>
      <c r="S77" s="151">
        <f ca="1">OFFSET(RES!V$95,$E77,0)</f>
        <v>25.449241995133484</v>
      </c>
      <c r="T77" s="245">
        <f ca="1">OFFSET(RES!W$95,$E77,0)</f>
        <v>25.95773144240108</v>
      </c>
      <c r="U77" s="151">
        <f ca="1">OFFSET(RES!X$95,$E77,0)</f>
        <v>26.488676270173116</v>
      </c>
      <c r="V77" s="151">
        <f ca="1">OFFSET(RES!Y$95,$E77,0)</f>
        <v>27.026452566553747</v>
      </c>
      <c r="W77" s="151">
        <f ca="1">OFFSET(RES!Z$95,$E77,0)</f>
        <v>27.57110254196467</v>
      </c>
      <c r="X77" s="151">
        <f ca="1">OFFSET(RES!AA$95,$E77,0)</f>
        <v>28.122668406827614</v>
      </c>
      <c r="Y77" s="247">
        <f ca="1">OFFSET(RES!AB$95,$E77,0)</f>
        <v>28.681192371564283</v>
      </c>
      <c r="Z77" s="151">
        <f ca="1">OFFSET(RES!AC$95,$E77,0)</f>
        <v>29.088355755609999</v>
      </c>
      <c r="AA77" s="151">
        <f ca="1">OFFSET(RES!AD$95,$E77,0)</f>
        <v>29.498171643862968</v>
      </c>
      <c r="AB77" s="151">
        <f ca="1">OFFSET(RES!AE$95,$E77,0)</f>
        <v>29.910640036323173</v>
      </c>
      <c r="AC77" s="151">
        <f ca="1">OFFSET(RES!AF$95,$E77,0)</f>
        <v>30.325760932990615</v>
      </c>
      <c r="AD77" s="151">
        <f ca="1">OFFSET(RES!AG$95,$E77,0)</f>
        <v>30.743534333865298</v>
      </c>
      <c r="AE77" s="151">
        <f ca="1">OFFSET(RES!AH$95,$E77,0)</f>
        <v>31.180070635571969</v>
      </c>
      <c r="AF77" s="151">
        <f ca="1">OFFSET(RES!AI$95,$E77,0)</f>
        <v>31.619463694025146</v>
      </c>
      <c r="AG77" s="151">
        <f ca="1">OFFSET(RES!AJ$95,$E77,0)</f>
        <v>32.06171350922483</v>
      </c>
      <c r="AH77" s="151">
        <f ca="1">OFFSET(RES!AK$95,$E77,0)</f>
        <v>32.506820081171021</v>
      </c>
      <c r="AI77" s="151">
        <f ca="1">OFFSET(RES!AL$95,$E77,0)</f>
        <v>32.954783409863708</v>
      </c>
      <c r="AJ77" s="151">
        <f ca="1">OFFSET(RES!AM$95,$E77,0)</f>
        <v>36.0763762769556</v>
      </c>
      <c r="AK77" s="151">
        <f ca="1">OFFSET(RES!AN$95,$E77,0)</f>
        <v>39.362701068608168</v>
      </c>
      <c r="AL77" s="151">
        <f ca="1">OFFSET(RES!AO$95,$E77,0)</f>
        <v>39.362701068608168</v>
      </c>
      <c r="AM77" s="151">
        <f ca="1">OFFSET(RES!AP$95,$E77,0)</f>
        <v>39.362701068608168</v>
      </c>
    </row>
    <row r="78" spans="1:39">
      <c r="A78" s="36" t="s">
        <v>389</v>
      </c>
      <c r="B78">
        <v>8.1991938940679994</v>
      </c>
      <c r="E78" s="154">
        <f>MATCH(F78,RES!$D$96:$D$134,0)</f>
        <v>19</v>
      </c>
      <c r="F78" s="4" t="str">
        <f t="shared" si="1"/>
        <v>RMEO</v>
      </c>
      <c r="G78" s="151">
        <f ca="1">OFFSET(RES!J$95,$E78,0)</f>
        <v>6.1966615637186973</v>
      </c>
      <c r="H78" s="151">
        <f ca="1">OFFSET(RES!K$95,$E78,0)</f>
        <v>6.5664507313193043</v>
      </c>
      <c r="I78" s="151">
        <f ca="1">OFFSET(RES!L$95,$E78,0)</f>
        <v>6.9362398989199114</v>
      </c>
      <c r="J78" s="151">
        <f ca="1">OFFSET(RES!M$95,$E78,0)</f>
        <v>7.3060290665205176</v>
      </c>
      <c r="K78" s="151">
        <f ca="1">OFFSET(RES!N$95,$E78,0)</f>
        <v>7.6758182341211247</v>
      </c>
      <c r="L78" s="151">
        <f ca="1">OFFSET(RES!O$95,$E78,0)</f>
        <v>8.0456074017217318</v>
      </c>
      <c r="M78" s="151">
        <f ca="1">OFFSET(RES!P$95,$E78,0)</f>
        <v>8.2400561711267599</v>
      </c>
      <c r="N78" s="151">
        <f ca="1">OFFSET(RES!Q$95,$E78,0)</f>
        <v>8.4374502714756208</v>
      </c>
      <c r="O78" s="245">
        <f ca="1">OFFSET(RES!R$95,$E78,0)</f>
        <v>8.6378099409670828</v>
      </c>
      <c r="P78" s="151">
        <f ca="1">OFFSET(RES!S$95,$E78,0)</f>
        <v>8.8154806770006537</v>
      </c>
      <c r="Q78" s="151">
        <f ca="1">OFFSET(RES!T$95,$E78,0)</f>
        <v>8.9954786315685453</v>
      </c>
      <c r="R78" s="151">
        <f ca="1">OFFSET(RES!U$95,$E78,0)</f>
        <v>9.1778185451918564</v>
      </c>
      <c r="S78" s="151">
        <f ca="1">OFFSET(RES!V$95,$E78,0)</f>
        <v>9.3625151583916821</v>
      </c>
      <c r="T78" s="245">
        <f ca="1">OFFSET(RES!W$95,$E78,0)</f>
        <v>9.5495832116891215</v>
      </c>
      <c r="U78" s="151">
        <f ca="1">OFFSET(RES!X$95,$E78,0)</f>
        <v>9.7449123692033588</v>
      </c>
      <c r="V78" s="151">
        <f ca="1">OFFSET(RES!Y$95,$E78,0)</f>
        <v>9.9427547539647669</v>
      </c>
      <c r="W78" s="151">
        <f ca="1">OFFSET(RES!Z$95,$E78,0)</f>
        <v>10.14312589475464</v>
      </c>
      <c r="X78" s="151">
        <f ca="1">OFFSET(RES!AA$95,$E78,0)</f>
        <v>10.34604132035428</v>
      </c>
      <c r="Y78" s="247">
        <f ca="1">OFFSET(RES!AB$95,$E78,0)</f>
        <v>10.55151655954498</v>
      </c>
      <c r="Z78" s="151">
        <f ca="1">OFFSET(RES!AC$95,$E78,0)</f>
        <v>10.701307793240627</v>
      </c>
      <c r="AA78" s="151">
        <f ca="1">OFFSET(RES!AD$95,$E78,0)</f>
        <v>10.85207485603377</v>
      </c>
      <c r="AB78" s="151">
        <f ca="1">OFFSET(RES!AE$95,$E78,0)</f>
        <v>11.003817747924405</v>
      </c>
      <c r="AC78" s="151">
        <f ca="1">OFFSET(RES!AF$95,$E78,0)</f>
        <v>11.156536468912531</v>
      </c>
      <c r="AD78" s="151">
        <f ca="1">OFFSET(RES!AG$95,$E78,0)</f>
        <v>11.310231018998151</v>
      </c>
      <c r="AE78" s="151">
        <f ca="1">OFFSET(RES!AH$95,$E78,0)</f>
        <v>11.470828247893946</v>
      </c>
      <c r="AF78" s="151">
        <f ca="1">OFFSET(RES!AI$95,$E78,0)</f>
        <v>11.632476448301905</v>
      </c>
      <c r="AG78" s="151">
        <f ca="1">OFFSET(RES!AJ$95,$E78,0)</f>
        <v>11.795175620222025</v>
      </c>
      <c r="AH78" s="151">
        <f ca="1">OFFSET(RES!AK$95,$E78,0)</f>
        <v>11.958925763654308</v>
      </c>
      <c r="AI78" s="151">
        <f ca="1">OFFSET(RES!AL$95,$E78,0)</f>
        <v>12.123726878598749</v>
      </c>
      <c r="AJ78" s="151">
        <f ca="1">OFFSET(RES!AM$95,$E78,0)</f>
        <v>13.272128883737603</v>
      </c>
      <c r="AK78" s="151">
        <f ca="1">OFFSET(RES!AN$95,$E78,0)</f>
        <v>14.481134074663494</v>
      </c>
      <c r="AL78" s="151">
        <f ca="1">OFFSET(RES!AO$95,$E78,0)</f>
        <v>14.481134074663494</v>
      </c>
      <c r="AM78" s="151">
        <f ca="1">OFFSET(RES!AP$95,$E78,0)</f>
        <v>14.481134074663494</v>
      </c>
    </row>
    <row r="79" spans="1:39">
      <c r="A79" s="36" t="s">
        <v>390</v>
      </c>
      <c r="B79">
        <v>3.5984677195130002</v>
      </c>
      <c r="E79" s="154">
        <f>MATCH(F79,RES!$D$96:$D$134,0)</f>
        <v>18</v>
      </c>
      <c r="F79" s="4" t="str">
        <f t="shared" si="1"/>
        <v>RMER</v>
      </c>
      <c r="G79" s="151">
        <f ca="1">OFFSET(RES!J$95,$E79,0)</f>
        <v>3.4675669688275099</v>
      </c>
      <c r="H79" s="151">
        <f ca="1">OFFSET(RES!K$95,$E79,0)</f>
        <v>3.6294093972389909</v>
      </c>
      <c r="I79" s="151">
        <f ca="1">OFFSET(RES!L$95,$E79,0)</f>
        <v>3.7912518256504715</v>
      </c>
      <c r="J79" s="151">
        <f ca="1">OFFSET(RES!M$95,$E79,0)</f>
        <v>3.9530942540619525</v>
      </c>
      <c r="K79" s="151">
        <f ca="1">OFFSET(RES!N$95,$E79,0)</f>
        <v>4.1149366824734335</v>
      </c>
      <c r="L79" s="151">
        <f ca="1">OFFSET(RES!O$95,$E79,0)</f>
        <v>4.276779110884914</v>
      </c>
      <c r="M79" s="151">
        <f ca="1">OFFSET(RES!P$95,$E79,0)</f>
        <v>4.3801416531524797</v>
      </c>
      <c r="N79" s="151">
        <f ca="1">OFFSET(RES!Q$95,$E79,0)</f>
        <v>4.4850698360517933</v>
      </c>
      <c r="O79" s="245">
        <f ca="1">OFFSET(RES!R$95,$E79,0)</f>
        <v>4.591574417540758</v>
      </c>
      <c r="P79" s="151">
        <f ca="1">OFFSET(RES!S$95,$E79,0)</f>
        <v>4.6860183115246121</v>
      </c>
      <c r="Q79" s="151">
        <f ca="1">OFFSET(RES!T$95,$E79,0)</f>
        <v>4.7816992780024492</v>
      </c>
      <c r="R79" s="151">
        <f ca="1">OFFSET(RES!U$95,$E79,0)</f>
        <v>4.8786251525483362</v>
      </c>
      <c r="S79" s="151">
        <f ca="1">OFFSET(RES!V$95,$E79,0)</f>
        <v>4.9768037707363391</v>
      </c>
      <c r="T79" s="245">
        <f ca="1">OFFSET(RES!W$95,$E79,0)</f>
        <v>5.0762429681405257</v>
      </c>
      <c r="U79" s="151">
        <f ca="1">OFFSET(RES!X$95,$E79,0)</f>
        <v>5.1800734956436285</v>
      </c>
      <c r="V79" s="151">
        <f ca="1">OFFSET(RES!Y$95,$E79,0)</f>
        <v>5.285239971727731</v>
      </c>
      <c r="W79" s="151">
        <f ca="1">OFFSET(RES!Z$95,$E79,0)</f>
        <v>5.3917506509799811</v>
      </c>
      <c r="X79" s="151">
        <f ca="1">OFFSET(RES!AA$95,$E79,0)</f>
        <v>5.4996137879875304</v>
      </c>
      <c r="Y79" s="247">
        <f ca="1">OFFSET(RES!AB$95,$E79,0)</f>
        <v>5.6088376373375262</v>
      </c>
      <c r="Z79" s="151">
        <f ca="1">OFFSET(RES!AC$95,$E79,0)</f>
        <v>5.6884617088683003</v>
      </c>
      <c r="AA79" s="151">
        <f ca="1">OFFSET(RES!AD$95,$E79,0)</f>
        <v>5.7686044989111256</v>
      </c>
      <c r="AB79" s="151">
        <f ca="1">OFFSET(RES!AE$95,$E79,0)</f>
        <v>5.8492660074659995</v>
      </c>
      <c r="AC79" s="151">
        <f ca="1">OFFSET(RES!AF$95,$E79,0)</f>
        <v>5.9304462345329219</v>
      </c>
      <c r="AD79" s="151">
        <f ca="1">OFFSET(RES!AG$95,$E79,0)</f>
        <v>6.0121451801118928</v>
      </c>
      <c r="AE79" s="151">
        <f ca="1">OFFSET(RES!AH$95,$E79,0)</f>
        <v>6.097513361718736</v>
      </c>
      <c r="AF79" s="151">
        <f ca="1">OFFSET(RES!AI$95,$E79,0)</f>
        <v>6.1834402050629622</v>
      </c>
      <c r="AG79" s="151">
        <f ca="1">OFFSET(RES!AJ$95,$E79,0)</f>
        <v>6.2699257101445722</v>
      </c>
      <c r="AH79" s="151">
        <f ca="1">OFFSET(RES!AK$95,$E79,0)</f>
        <v>6.3569698769635661</v>
      </c>
      <c r="AI79" s="151">
        <f ca="1">OFFSET(RES!AL$95,$E79,0)</f>
        <v>6.4445727055199402</v>
      </c>
      <c r="AJ79" s="151">
        <f ca="1">OFFSET(RES!AM$95,$E79,0)</f>
        <v>7.0550252743869173</v>
      </c>
      <c r="AK79" s="151">
        <f ca="1">OFFSET(RES!AN$95,$E79,0)</f>
        <v>7.6976924948129071</v>
      </c>
      <c r="AL79" s="151">
        <f ca="1">OFFSET(RES!AO$95,$E79,0)</f>
        <v>7.6976924948129071</v>
      </c>
      <c r="AM79" s="151">
        <f ca="1">OFFSET(RES!AP$95,$E79,0)</f>
        <v>7.6976924948129071</v>
      </c>
    </row>
    <row r="80" spans="1:39">
      <c r="A80" s="36" t="s">
        <v>391</v>
      </c>
      <c r="B80">
        <v>16.347656033450001</v>
      </c>
      <c r="E80" s="154">
        <f>MATCH(F80,RES!$D$96:$D$134,0)</f>
        <v>17</v>
      </c>
      <c r="F80" s="4" t="str">
        <f t="shared" si="1"/>
        <v>RMEW</v>
      </c>
      <c r="G80" s="151">
        <f ca="1">OFFSET(RES!J$95,$E80,0)</f>
        <v>6.084532675932218</v>
      </c>
      <c r="H80" s="151">
        <f ca="1">OFFSET(RES!K$95,$E80,0)</f>
        <v>5.9075367357775663</v>
      </c>
      <c r="I80" s="151">
        <f ca="1">OFFSET(RES!L$95,$E80,0)</f>
        <v>5.7305407956229146</v>
      </c>
      <c r="J80" s="151">
        <f ca="1">OFFSET(RES!M$95,$E80,0)</f>
        <v>5.553544855468262</v>
      </c>
      <c r="K80" s="151">
        <f ca="1">OFFSET(RES!N$95,$E80,0)</f>
        <v>5.3765489153136103</v>
      </c>
      <c r="L80" s="151">
        <f ca="1">OFFSET(RES!O$95,$E80,0)</f>
        <v>5.1995529751589586</v>
      </c>
      <c r="M80" s="151">
        <f ca="1">OFFSET(RES!P$95,$E80,0)</f>
        <v>5.3252174063191902</v>
      </c>
      <c r="N80" s="151">
        <f ca="1">OFFSET(RES!Q$95,$E80,0)</f>
        <v>5.4527852865923565</v>
      </c>
      <c r="O80" s="245">
        <f ca="1">OFFSET(RES!R$95,$E80,0)</f>
        <v>5.5822696951136148</v>
      </c>
      <c r="P80" s="151">
        <f ca="1">OFFSET(RES!S$95,$E80,0)</f>
        <v>5.6970911570636895</v>
      </c>
      <c r="Q80" s="151">
        <f ca="1">OFFSET(RES!T$95,$E80,0)</f>
        <v>5.8134166068980582</v>
      </c>
      <c r="R80" s="151">
        <f ca="1">OFFSET(RES!U$95,$E80,0)</f>
        <v>5.9312555708235699</v>
      </c>
      <c r="S80" s="151">
        <f ca="1">OFFSET(RES!V$95,$E80,0)</f>
        <v>6.0506175750470712</v>
      </c>
      <c r="T80" s="245">
        <f ca="1">OFFSET(RES!W$95,$E80,0)</f>
        <v>6.1715121457754103</v>
      </c>
      <c r="U80" s="151">
        <f ca="1">OFFSET(RES!X$95,$E80,0)</f>
        <v>6.2977455364167563</v>
      </c>
      <c r="V80" s="151">
        <f ca="1">OFFSET(RES!Y$95,$E80,0)</f>
        <v>6.425603124903934</v>
      </c>
      <c r="W80" s="151">
        <f ca="1">OFFSET(RES!Z$95,$E80,0)</f>
        <v>6.5550949468647008</v>
      </c>
      <c r="X80" s="151">
        <f ca="1">OFFSET(RES!AA$95,$E80,0)</f>
        <v>6.6862310379268219</v>
      </c>
      <c r="Y80" s="247">
        <f ca="1">OFFSET(RES!AB$95,$E80,0)</f>
        <v>6.8190214337180555</v>
      </c>
      <c r="Z80" s="151">
        <f ca="1">OFFSET(RES!AC$95,$E80,0)</f>
        <v>6.9158254928681773</v>
      </c>
      <c r="AA80" s="151">
        <f ca="1">OFFSET(RES!AD$95,$E80,0)</f>
        <v>7.0132601911775065</v>
      </c>
      <c r="AB80" s="151">
        <f ca="1">OFFSET(RES!AE$95,$E80,0)</f>
        <v>7.1113255286460397</v>
      </c>
      <c r="AC80" s="151">
        <f ca="1">OFFSET(RES!AF$95,$E80,0)</f>
        <v>7.2100215052737777</v>
      </c>
      <c r="AD80" s="151">
        <f ca="1">OFFSET(RES!AG$95,$E80,0)</f>
        <v>7.3093481210607205</v>
      </c>
      <c r="AE80" s="151">
        <f ca="1">OFFSET(RES!AH$95,$E80,0)</f>
        <v>7.4131356609708492</v>
      </c>
      <c r="AF80" s="151">
        <f ca="1">OFFSET(RES!AI$95,$E80,0)</f>
        <v>7.5176024015652789</v>
      </c>
      <c r="AG80" s="151">
        <f ca="1">OFFSET(RES!AJ$95,$E80,0)</f>
        <v>7.6227483428440106</v>
      </c>
      <c r="AH80" s="151">
        <f ca="1">OFFSET(RES!AK$95,$E80,0)</f>
        <v>7.7285734848070442</v>
      </c>
      <c r="AI80" s="151">
        <f ca="1">OFFSET(RES!AL$95,$E80,0)</f>
        <v>7.8350778274543762</v>
      </c>
      <c r="AJ80" s="151">
        <f ca="1">OFFSET(RES!AM$95,$E80,0)</f>
        <v>8.5772439268368075</v>
      </c>
      <c r="AK80" s="151">
        <f ca="1">OFFSET(RES!AN$95,$E80,0)</f>
        <v>9.3585754315428531</v>
      </c>
      <c r="AL80" s="151">
        <f ca="1">OFFSET(RES!AO$95,$E80,0)</f>
        <v>9.3585754315428531</v>
      </c>
      <c r="AM80" s="151">
        <f ca="1">OFFSET(RES!AP$95,$E80,0)</f>
        <v>9.3585754315428531</v>
      </c>
    </row>
    <row r="81" spans="1:39" s="227" customFormat="1">
      <c r="A81" s="36" t="s">
        <v>598</v>
      </c>
      <c r="B81" s="227">
        <v>17.347656033450001</v>
      </c>
      <c r="E81" s="154">
        <f>MATCH(F81,RES!$D$96:$D$134,0)</f>
        <v>16</v>
      </c>
      <c r="F81" s="227" t="str">
        <f>A81</f>
        <v>RMEWG</v>
      </c>
      <c r="G81" s="151">
        <f ca="1">OFFSET(RES!J$95,$E81,0)</f>
        <v>8.7137527293210866</v>
      </c>
      <c r="H81" s="151">
        <f ca="1">OFFSET(RES!K$95,$E81,0)</f>
        <v>8.9845863339707623</v>
      </c>
      <c r="I81" s="151">
        <f ca="1">OFFSET(RES!L$95,$E81,0)</f>
        <v>9.2554199386204399</v>
      </c>
      <c r="J81" s="151">
        <f ca="1">OFFSET(RES!M$95,$E81,0)</f>
        <v>9.5262535432701156</v>
      </c>
      <c r="K81" s="151">
        <f ca="1">OFFSET(RES!N$95,$E81,0)</f>
        <v>9.7970871479197932</v>
      </c>
      <c r="L81" s="151">
        <f ca="1">OFFSET(RES!O$95,$E81,0)</f>
        <v>10.067920752569469</v>
      </c>
      <c r="M81" s="151">
        <f ca="1">OFFSET(RES!P$95,$E81,0)</f>
        <v>10.31124542689866</v>
      </c>
      <c r="N81" s="151">
        <f ca="1">OFFSET(RES!Q$95,$E81,0)</f>
        <v>10.558255759382915</v>
      </c>
      <c r="O81" s="245">
        <f ca="1">OFFSET(RES!R$95,$E81,0)</f>
        <v>10.808977075217859</v>
      </c>
      <c r="P81" s="151">
        <f ca="1">OFFSET(RES!S$95,$E81,0)</f>
        <v>11.031306453364484</v>
      </c>
      <c r="Q81" s="151">
        <f ca="1">OFFSET(RES!T$95,$E81,0)</f>
        <v>11.256548010866572</v>
      </c>
      <c r="R81" s="151">
        <f ca="1">OFFSET(RES!U$95,$E81,0)</f>
        <v>11.484720193366678</v>
      </c>
      <c r="S81" s="151">
        <f ca="1">OFFSET(RES!V$95,$E81,0)</f>
        <v>11.715841446507355</v>
      </c>
      <c r="T81" s="245">
        <f ca="1">OFFSET(RES!W$95,$E81,0)</f>
        <v>11.949930215931156</v>
      </c>
      <c r="U81" s="151">
        <f ca="1">OFFSET(RES!X$95,$E81,0)</f>
        <v>12.194356569384427</v>
      </c>
      <c r="V81" s="151">
        <f ca="1">OFFSET(RES!Y$95,$E81,0)</f>
        <v>12.441927865350344</v>
      </c>
      <c r="W81" s="151">
        <f ca="1">OFFSET(RES!Z$95,$E81,0)</f>
        <v>12.692663535865746</v>
      </c>
      <c r="X81" s="151">
        <f ca="1">OFFSET(RES!AA$95,$E81,0)</f>
        <v>12.946583012967487</v>
      </c>
      <c r="Y81" s="247">
        <f ca="1">OFFSET(RES!AB$95,$E81,0)</f>
        <v>13.203705728692409</v>
      </c>
      <c r="Z81" s="151">
        <f ca="1">OFFSET(RES!AC$95,$E81,0)</f>
        <v>13.391147918570409</v>
      </c>
      <c r="AA81" s="151">
        <f ca="1">OFFSET(RES!AD$95,$E81,0)</f>
        <v>13.579811218245483</v>
      </c>
      <c r="AB81" s="151">
        <f ca="1">OFFSET(RES!AE$95,$E81,0)</f>
        <v>13.769695627717624</v>
      </c>
      <c r="AC81" s="151">
        <f ca="1">OFFSET(RES!AF$95,$E81,0)</f>
        <v>13.960801146986833</v>
      </c>
      <c r="AD81" s="151">
        <f ca="1">OFFSET(RES!AG$95,$E81,0)</f>
        <v>14.153127776053109</v>
      </c>
      <c r="AE81" s="151">
        <f ca="1">OFFSET(RES!AH$95,$E81,0)</f>
        <v>14.354092115085999</v>
      </c>
      <c r="AF81" s="151">
        <f ca="1">OFFSET(RES!AI$95,$E81,0)</f>
        <v>14.556371593842881</v>
      </c>
      <c r="AG81" s="151">
        <f ca="1">OFFSET(RES!AJ$95,$E81,0)</f>
        <v>14.759966212323757</v>
      </c>
      <c r="AH81" s="151">
        <f ca="1">OFFSET(RES!AK$95,$E81,0)</f>
        <v>14.964875970528627</v>
      </c>
      <c r="AI81" s="151">
        <f ca="1">OFFSET(RES!AL$95,$E81,0)</f>
        <v>15.171100868457485</v>
      </c>
      <c r="AJ81" s="151">
        <f ca="1">OFFSET(RES!AM$95,$E81,0)</f>
        <v>16.608160844483113</v>
      </c>
      <c r="AK81" s="151">
        <f ca="1">OFFSET(RES!AN$95,$E81,0)</f>
        <v>18.121056993142091</v>
      </c>
      <c r="AL81" s="151">
        <f ca="1">OFFSET(RES!AO$95,$E81,0)</f>
        <v>18.121056993142091</v>
      </c>
      <c r="AM81" s="151">
        <f ca="1">OFFSET(RES!AP$95,$E81,0)</f>
        <v>18.121056993142091</v>
      </c>
    </row>
    <row r="82" spans="1:39">
      <c r="A82" s="36" t="s">
        <v>392</v>
      </c>
      <c r="B82">
        <v>0.2282739655271</v>
      </c>
      <c r="E82" s="154">
        <f>MATCH(F82,RES!$D$96:$D$134,0)</f>
        <v>13</v>
      </c>
      <c r="F82" s="4" t="str">
        <f t="shared" si="1"/>
        <v>RMNL</v>
      </c>
      <c r="G82" s="151">
        <f ca="1">OFFSET(RES!J$95,$E82,0)</f>
        <v>3.3422499241462768E-2</v>
      </c>
      <c r="H82" s="151">
        <f ca="1">OFFSET(RES!K$95,$E82,0)</f>
        <v>4.1310307072706193E-2</v>
      </c>
      <c r="I82" s="151">
        <f ca="1">OFFSET(RES!L$95,$E82,0)</f>
        <v>4.9198114903949625E-2</v>
      </c>
      <c r="J82" s="151">
        <f ca="1">OFFSET(RES!M$95,$E82,0)</f>
        <v>5.7085922735193056E-2</v>
      </c>
      <c r="K82" s="151">
        <f ca="1">OFFSET(RES!N$95,$E82,0)</f>
        <v>6.4973730566436488E-2</v>
      </c>
      <c r="L82" s="151">
        <f ca="1">OFFSET(RES!O$95,$E82,0)</f>
        <v>7.2861538397679906E-2</v>
      </c>
      <c r="M82" s="151">
        <f ca="1">OFFSET(RES!P$95,$E82,0)</f>
        <v>6.1364994279431657E-2</v>
      </c>
      <c r="N82" s="151">
        <f ca="1">OFFSET(RES!Q$95,$E82,0)</f>
        <v>6.2835019190323138E-2</v>
      </c>
      <c r="O82" s="245">
        <f ca="1">OFFSET(RES!R$95,$E82,0)</f>
        <v>6.4327129161036001E-2</v>
      </c>
      <c r="P82" s="151">
        <f ca="1">OFFSET(RES!S$95,$E82,0)</f>
        <v>6.5650271075835792E-2</v>
      </c>
      <c r="Q82" s="151">
        <f ca="1">OFFSET(RES!T$95,$E82,0)</f>
        <v>6.699074415307911E-2</v>
      </c>
      <c r="R82" s="151">
        <f ca="1">OFFSET(RES!U$95,$E82,0)</f>
        <v>6.8348658167744922E-2</v>
      </c>
      <c r="S82" s="151">
        <f ca="1">OFFSET(RES!V$95,$E82,0)</f>
        <v>6.9724122894812182E-2</v>
      </c>
      <c r="T82" s="245">
        <f ca="1">OFFSET(RES!W$95,$E82,0)</f>
        <v>7.1117248109259845E-2</v>
      </c>
      <c r="U82" s="151">
        <f ca="1">OFFSET(RES!X$95,$E82,0)</f>
        <v>7.2571895066093434E-2</v>
      </c>
      <c r="V82" s="151">
        <f ca="1">OFFSET(RES!Y$95,$E82,0)</f>
        <v>7.404525842151008E-2</v>
      </c>
      <c r="W82" s="151">
        <f ca="1">OFFSET(RES!Z$95,$E82,0)</f>
        <v>7.5537453820786388E-2</v>
      </c>
      <c r="X82" s="151">
        <f ca="1">OFFSET(RES!AA$95,$E82,0)</f>
        <v>7.704859690919906E-2</v>
      </c>
      <c r="Y82" s="247">
        <f ca="1">OFFSET(RES!AB$95,$E82,0)</f>
        <v>7.8578803332024688E-2</v>
      </c>
      <c r="Z82" s="151">
        <f ca="1">OFFSET(RES!AC$95,$E82,0)</f>
        <v>7.9694322208103588E-2</v>
      </c>
      <c r="AA82" s="151">
        <f ca="1">OFFSET(RES!AD$95,$E82,0)</f>
        <v>8.0817108236947224E-2</v>
      </c>
      <c r="AB82" s="151">
        <f ca="1">OFFSET(RES!AE$95,$E82,0)</f>
        <v>8.1947161418555556E-2</v>
      </c>
      <c r="AC82" s="151">
        <f ca="1">OFFSET(RES!AF$95,$E82,0)</f>
        <v>8.3084481752928596E-2</v>
      </c>
      <c r="AD82" s="151">
        <f ca="1">OFFSET(RES!AG$95,$E82,0)</f>
        <v>8.4229069240066332E-2</v>
      </c>
      <c r="AE82" s="151">
        <f ca="1">OFFSET(RES!AH$95,$E82,0)</f>
        <v>8.5425062061937534E-2</v>
      </c>
      <c r="AF82" s="151">
        <f ca="1">OFFSET(RES!AI$95,$E82,0)</f>
        <v>8.6628881633953672E-2</v>
      </c>
      <c r="AG82" s="151">
        <f ca="1">OFFSET(RES!AJ$95,$E82,0)</f>
        <v>8.7840527956114758E-2</v>
      </c>
      <c r="AH82" s="151">
        <f ca="1">OFFSET(RES!AK$95,$E82,0)</f>
        <v>8.9060001028420779E-2</v>
      </c>
      <c r="AI82" s="151">
        <f ca="1">OFFSET(RES!AL$95,$E82,0)</f>
        <v>9.0287300850871707E-2</v>
      </c>
      <c r="AJ82" s="151">
        <f ca="1">OFFSET(RES!AM$95,$E82,0)</f>
        <v>9.8839631200604877E-2</v>
      </c>
      <c r="AK82" s="151">
        <f ca="1">OFFSET(RES!AN$95,$E82,0)</f>
        <v>0.10784328300639415</v>
      </c>
      <c r="AL82" s="151">
        <f ca="1">OFFSET(RES!AO$95,$E82,0)</f>
        <v>0.10784328300639415</v>
      </c>
      <c r="AM82" s="151">
        <f ca="1">OFFSET(RES!AP$95,$E82,0)</f>
        <v>0.10784328300639415</v>
      </c>
    </row>
    <row r="83" spans="1:39">
      <c r="A83" s="36" t="s">
        <v>135</v>
      </c>
      <c r="B83">
        <v>0.46620130319999997</v>
      </c>
      <c r="E83" s="156">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675</v>
      </c>
      <c r="B84">
        <f>[3]EB_2006!$AI$69/1000</f>
        <v>35.178032837499991</v>
      </c>
      <c r="E84" s="153">
        <f>MATCH(F84,OtherTRA!$D$47:$D$51,0)</f>
        <v>2</v>
      </c>
      <c r="F84" s="4" t="str">
        <f t="shared" si="1"/>
        <v>TAIJET</v>
      </c>
      <c r="G84" s="24">
        <f ca="1">OFFSET(OtherTRA!J$46,$E84,0)</f>
        <v>60.368000000000002</v>
      </c>
      <c r="H84" s="24">
        <f ca="1">OFFSET(OtherTRA!K$46,$E84,0)</f>
        <v>62.625432146104679</v>
      </c>
      <c r="I84" s="24">
        <f ca="1">OFFSET(OtherTRA!L$46,$E84,0)</f>
        <v>64.882864292209348</v>
      </c>
      <c r="J84" s="24">
        <f ca="1">OFFSET(OtherTRA!M$46,$E84,0)</f>
        <v>67.140296438314024</v>
      </c>
      <c r="K84" s="24">
        <f ca="1">OFFSET(OtherTRA!N$46,$E84,0)</f>
        <v>68.039787306772666</v>
      </c>
      <c r="L84" s="24">
        <f ca="1">OFFSET(OtherTRA!O$46,$E84,0)</f>
        <v>68.939278175231294</v>
      </c>
      <c r="M84" s="24">
        <f ca="1">OFFSET(OtherTRA!P$46,$E84,0)</f>
        <v>69.838769043689922</v>
      </c>
      <c r="N84" s="24">
        <f ca="1">OFFSET(OtherTRA!Q$46,$E84,0)</f>
        <v>70.73825991214855</v>
      </c>
      <c r="O84" s="24">
        <f ca="1">OFFSET(OtherTRA!R$46,$E84,0)</f>
        <v>68.939278175231294</v>
      </c>
      <c r="P84" s="24">
        <f ca="1">OFFSET(OtherTRA!S$46,$E84,0)</f>
        <v>70.574511565536966</v>
      </c>
      <c r="Q84" s="24">
        <f ca="1">OFFSET(OtherTRA!T$46,$E84,0)</f>
        <v>72.209744955842638</v>
      </c>
      <c r="R84" s="24">
        <f ca="1">OFFSET(OtherTRA!U$46,$E84,0)</f>
        <v>73.844978346148309</v>
      </c>
      <c r="S84" s="24">
        <f ca="1">OFFSET(OtherTRA!V$46,$E84,0)</f>
        <v>75.480211736453981</v>
      </c>
      <c r="T84" s="24">
        <f ca="1">OFFSET(OtherTRA!W$46,$E84,0)</f>
        <v>77.115445126759653</v>
      </c>
      <c r="U84" s="24">
        <f ca="1">OFFSET(OtherTRA!X$46,$E84,0)</f>
        <v>78.750678517065325</v>
      </c>
      <c r="V84" s="24">
        <f ca="1">OFFSET(OtherTRA!Y$46,$E84,0)</f>
        <v>80.385911907370996</v>
      </c>
      <c r="W84" s="24">
        <f ca="1">OFFSET(OtherTRA!Z$46,$E84,0)</f>
        <v>82.021145297676668</v>
      </c>
      <c r="X84" s="24">
        <f ca="1">OFFSET(OtherTRA!AA$46,$E84,0)</f>
        <v>83.65637868798234</v>
      </c>
      <c r="Y84" s="24">
        <f ca="1">OFFSET(OtherTRA!AB$46,$E84,0)</f>
        <v>73.844978346148324</v>
      </c>
      <c r="Z84" s="24">
        <f ca="1">OFFSET(OtherTRA!AC$46,$E84,0)</f>
        <v>75.026084134274257</v>
      </c>
      <c r="AA84" s="24">
        <f ca="1">OFFSET(OtherTRA!AD$46,$E84,0)</f>
        <v>76.20718992240019</v>
      </c>
      <c r="AB84" s="24">
        <f ca="1">OFFSET(OtherTRA!AE$46,$E84,0)</f>
        <v>77.388295710526123</v>
      </c>
      <c r="AC84" s="24">
        <f ca="1">OFFSET(OtherTRA!AF$46,$E84,0)</f>
        <v>78.569401498652056</v>
      </c>
      <c r="AD84" s="24">
        <f ca="1">OFFSET(OtherTRA!AG$46,$E84,0)</f>
        <v>79.750507286777989</v>
      </c>
      <c r="AE84" s="24">
        <f ca="1">OFFSET(OtherTRA!AH$46,$E84,0)</f>
        <v>80.931613074903922</v>
      </c>
      <c r="AF84" s="24">
        <f ca="1">OFFSET(OtherTRA!AI$46,$E84,0)</f>
        <v>82.112718863029855</v>
      </c>
      <c r="AG84" s="24">
        <f ca="1">OFFSET(OtherTRA!AJ$46,$E84,0)</f>
        <v>83.293824651155788</v>
      </c>
      <c r="AH84" s="24">
        <f ca="1">OFFSET(OtherTRA!AK$46,$E84,0)</f>
        <v>84.474930439281721</v>
      </c>
      <c r="AI84" s="24">
        <f ca="1">OFFSET(OtherTRA!AL$46,$E84,0)</f>
        <v>85.656036227407711</v>
      </c>
      <c r="AJ84" s="24">
        <f ca="1">OFFSET(OtherTRA!AM$46,$E84,0)</f>
        <v>94.078868483365099</v>
      </c>
      <c r="AK84" s="24">
        <f ca="1">OFFSET(OtherTRA!AN$46,$E84,0)</f>
        <v>102.50170073932249</v>
      </c>
      <c r="AL84" s="24">
        <f ca="1">OFFSET(OtherTRA!AO$46,$E84,0)</f>
        <v>102.50170073932249</v>
      </c>
      <c r="AM84" s="24">
        <f ca="1">OFFSET(OtherTRA!AP$46,$E84,0)</f>
        <v>102.50170073932249</v>
      </c>
    </row>
    <row r="85" spans="1:39" s="227" customFormat="1">
      <c r="A85" s="36" t="s">
        <v>676</v>
      </c>
      <c r="B85" s="227">
        <f>[3]EB_2006!$AI$70/1000</f>
        <v>42.764908764899999</v>
      </c>
      <c r="E85" s="153">
        <f>MATCH(F85,OtherTRA!$D$47:$D$51,0)</f>
        <v>3</v>
      </c>
      <c r="F85" s="227" t="str">
        <f t="shared" ref="F85" si="2">A85</f>
        <v>TADJET</v>
      </c>
      <c r="G85" s="24">
        <f ca="1">OFFSET(OtherTRA!J$46,$E85,0)</f>
        <v>20.123000000000001</v>
      </c>
      <c r="H85" s="24">
        <f ca="1">OFFSET(OtherTRA!K$46,$E85,0)</f>
        <v>20.875489846873585</v>
      </c>
      <c r="I85" s="24">
        <f ca="1">OFFSET(OtherTRA!L$46,$E85,0)</f>
        <v>21.627979693747168</v>
      </c>
      <c r="J85" s="24">
        <f ca="1">OFFSET(OtherTRA!M$46,$E85,0)</f>
        <v>22.380469540620748</v>
      </c>
      <c r="K85" s="24">
        <f ca="1">OFFSET(OtherTRA!N$46,$E85,0)</f>
        <v>21.422848799886772</v>
      </c>
      <c r="L85" s="24">
        <f ca="1">OFFSET(OtherTRA!O$46,$E85,0)</f>
        <v>20.465228059152793</v>
      </c>
      <c r="M85" s="24">
        <f ca="1">OFFSET(OtherTRA!P$46,$E85,0)</f>
        <v>19.507607318418813</v>
      </c>
      <c r="N85" s="24">
        <f ca="1">OFFSET(OtherTRA!Q$46,$E85,0)</f>
        <v>18.549986577684834</v>
      </c>
      <c r="O85" s="24">
        <f ca="1">OFFSET(OtherTRA!R$46,$E85,0)</f>
        <v>20.465228059152793</v>
      </c>
      <c r="P85" s="24">
        <f ca="1">OFFSET(OtherTRA!S$46,$E85,0)</f>
        <v>21.848618883124693</v>
      </c>
      <c r="Q85" s="24">
        <f ca="1">OFFSET(OtherTRA!T$46,$E85,0)</f>
        <v>23.232009707096594</v>
      </c>
      <c r="R85" s="24">
        <f ca="1">OFFSET(OtherTRA!U$46,$E85,0)</f>
        <v>24.615400531068495</v>
      </c>
      <c r="S85" s="24">
        <f ca="1">OFFSET(OtherTRA!V$46,$E85,0)</f>
        <v>25.998791355040396</v>
      </c>
      <c r="T85" s="24">
        <f ca="1">OFFSET(OtherTRA!W$46,$E85,0)</f>
        <v>27.382182179012297</v>
      </c>
      <c r="U85" s="24">
        <f ca="1">OFFSET(OtherTRA!X$46,$E85,0)</f>
        <v>28.765573002984198</v>
      </c>
      <c r="V85" s="24">
        <f ca="1">OFFSET(OtherTRA!Y$46,$E85,0)</f>
        <v>30.148963826956098</v>
      </c>
      <c r="W85" s="24">
        <f ca="1">OFFSET(OtherTRA!Z$46,$E85,0)</f>
        <v>31.532354650927999</v>
      </c>
      <c r="X85" s="24">
        <f ca="1">OFFSET(OtherTRA!AA$46,$E85,0)</f>
        <v>32.9157454748999</v>
      </c>
      <c r="Y85" s="24">
        <f ca="1">OFFSET(OtherTRA!AB$46,$E85,0)</f>
        <v>24.615400531068499</v>
      </c>
      <c r="Z85" s="24">
        <f ca="1">OFFSET(OtherTRA!AC$46,$E85,0)</f>
        <v>25.00910898214288</v>
      </c>
      <c r="AA85" s="24">
        <f ca="1">OFFSET(OtherTRA!AD$46,$E85,0)</f>
        <v>25.402817433217262</v>
      </c>
      <c r="AB85" s="24">
        <f ca="1">OFFSET(OtherTRA!AE$46,$E85,0)</f>
        <v>25.796525884291643</v>
      </c>
      <c r="AC85" s="24">
        <f ca="1">OFFSET(OtherTRA!AF$46,$E85,0)</f>
        <v>26.190234335366025</v>
      </c>
      <c r="AD85" s="24">
        <f ca="1">OFFSET(OtherTRA!AG$46,$E85,0)</f>
        <v>26.583942786440407</v>
      </c>
      <c r="AE85" s="24">
        <f ca="1">OFFSET(OtherTRA!AH$46,$E85,0)</f>
        <v>26.977651237514788</v>
      </c>
      <c r="AF85" s="24">
        <f ca="1">OFFSET(OtherTRA!AI$46,$E85,0)</f>
        <v>27.37135968858917</v>
      </c>
      <c r="AG85" s="24">
        <f ca="1">OFFSET(OtherTRA!AJ$46,$E85,0)</f>
        <v>27.765068139663551</v>
      </c>
      <c r="AH85" s="24">
        <f ca="1">OFFSET(OtherTRA!AK$46,$E85,0)</f>
        <v>28.158776590737933</v>
      </c>
      <c r="AI85" s="24">
        <f ca="1">OFFSET(OtherTRA!AL$46,$E85,0)</f>
        <v>28.552485041812318</v>
      </c>
      <c r="AJ85" s="24">
        <f ca="1">OFFSET(OtherTRA!AM$46,$E85,0)</f>
        <v>31.360142302059977</v>
      </c>
      <c r="AK85" s="24">
        <f ca="1">OFFSET(OtherTRA!AN$46,$E85,0)</f>
        <v>34.167799562307636</v>
      </c>
      <c r="AL85" s="24">
        <f ca="1">OFFSET(OtherTRA!AO$46,$E85,0)</f>
        <v>34.167799562307636</v>
      </c>
      <c r="AM85" s="24">
        <f ca="1">OFFSET(OtherTRA!AP$46,$E85,0)</f>
        <v>34.167799562307636</v>
      </c>
    </row>
    <row r="86" spans="1:39">
      <c r="A86" s="36" t="s">
        <v>393</v>
      </c>
      <c r="B86" s="24">
        <f>[3]EB_2006!$AG$68/1000</f>
        <v>0.74474625240000003</v>
      </c>
      <c r="E86" s="155">
        <f>MATCH(F86,OtherTRA!$D$47:$D$51,0)</f>
        <v>4</v>
      </c>
      <c r="F86" s="4" t="str">
        <f t="shared" si="1"/>
        <v>TAOAG</v>
      </c>
      <c r="G86" s="24">
        <f ca="1">OFFSET(OtherTRA!J$46,$E86,0)</f>
        <v>1.0701311035156249</v>
      </c>
      <c r="H86" s="24">
        <f ca="1">OFFSET(OtherTRA!K$46,$E86,0)</f>
        <v>1.1101481382628857</v>
      </c>
      <c r="I86" s="24">
        <f ca="1">OFFSET(OtherTRA!L$46,$E86,0)</f>
        <v>1.1501651730101465</v>
      </c>
      <c r="J86" s="24">
        <f ca="1">OFFSET(OtherTRA!M$46,$E86,0)</f>
        <v>1.1901822077574074</v>
      </c>
      <c r="K86" s="24">
        <f ca="1">OFFSET(OtherTRA!N$46,$E86,0)</f>
        <v>1.2139527108343753</v>
      </c>
      <c r="L86" s="24">
        <f ca="1">OFFSET(OtherTRA!O$46,$E86,0)</f>
        <v>1.2377232139113432</v>
      </c>
      <c r="M86" s="24">
        <f ca="1">OFFSET(OtherTRA!P$46,$E86,0)</f>
        <v>1.2614937169883111</v>
      </c>
      <c r="N86" s="24">
        <f ca="1">OFFSET(OtherTRA!Q$46,$E86,0)</f>
        <v>1.2852642200652791</v>
      </c>
      <c r="O86" s="24">
        <f ca="1">OFFSET(OtherTRA!R$46,$E86,0)</f>
        <v>1.2377232139113432</v>
      </c>
      <c r="P86" s="24">
        <f ca="1">OFFSET(OtherTRA!S$46,$E86,0)</f>
        <v>1.2614937169883109</v>
      </c>
      <c r="Q86" s="24">
        <f ca="1">OFFSET(OtherTRA!T$46,$E86,0)</f>
        <v>1.2852642200652786</v>
      </c>
      <c r="R86" s="24">
        <f ca="1">OFFSET(OtherTRA!U$46,$E86,0)</f>
        <v>1.3090347231422463</v>
      </c>
      <c r="S86" s="24">
        <f ca="1">OFFSET(OtherTRA!V$46,$E86,0)</f>
        <v>1.332805226219214</v>
      </c>
      <c r="T86" s="24">
        <f ca="1">OFFSET(OtherTRA!W$46,$E86,0)</f>
        <v>1.3565757292961818</v>
      </c>
      <c r="U86" s="24">
        <f ca="1">OFFSET(OtherTRA!X$46,$E86,0)</f>
        <v>1.3803462323731495</v>
      </c>
      <c r="V86" s="24">
        <f ca="1">OFFSET(OtherTRA!Y$46,$E86,0)</f>
        <v>1.4041167354501172</v>
      </c>
      <c r="W86" s="24">
        <f ca="1">OFFSET(OtherTRA!Z$46,$E86,0)</f>
        <v>1.4278872385270849</v>
      </c>
      <c r="X86" s="24">
        <f ca="1">OFFSET(OtherTRA!AA$46,$E86,0)</f>
        <v>1.4516577416040526</v>
      </c>
      <c r="Y86" s="24">
        <f ca="1">OFFSET(OtherTRA!AB$46,$E86,0)</f>
        <v>1.3090347231422466</v>
      </c>
      <c r="Z86" s="24">
        <f ca="1">OFFSET(OtherTRA!AC$46,$E86,0)</f>
        <v>1.3299719422055898</v>
      </c>
      <c r="AA86" s="24">
        <f ca="1">OFFSET(OtherTRA!AD$46,$E86,0)</f>
        <v>1.350909161268933</v>
      </c>
      <c r="AB86" s="24">
        <f ca="1">OFFSET(OtherTRA!AE$46,$E86,0)</f>
        <v>1.3718463803322762</v>
      </c>
      <c r="AC86" s="24">
        <f ca="1">OFFSET(OtherTRA!AF$46,$E86,0)</f>
        <v>1.3927835993956195</v>
      </c>
      <c r="AD86" s="24">
        <f ca="1">OFFSET(OtherTRA!AG$46,$E86,0)</f>
        <v>1.4137208184589627</v>
      </c>
      <c r="AE86" s="24">
        <f ca="1">OFFSET(OtherTRA!AH$46,$E86,0)</f>
        <v>1.4346580375223059</v>
      </c>
      <c r="AF86" s="24">
        <f ca="1">OFFSET(OtherTRA!AI$46,$E86,0)</f>
        <v>1.4555952565856491</v>
      </c>
      <c r="AG86" s="24">
        <f ca="1">OFFSET(OtherTRA!AJ$46,$E86,0)</f>
        <v>1.4765324756489924</v>
      </c>
      <c r="AH86" s="24">
        <f ca="1">OFFSET(OtherTRA!AK$46,$E86,0)</f>
        <v>1.4974696947123356</v>
      </c>
      <c r="AI86" s="24">
        <f ca="1">OFFSET(OtherTRA!AL$46,$E86,0)</f>
        <v>1.5184069137756786</v>
      </c>
      <c r="AJ86" s="24">
        <f ca="1">OFFSET(OtherTRA!AM$46,$E86,0)</f>
        <v>1.6677167265373185</v>
      </c>
      <c r="AK86" s="24">
        <f ca="1">OFFSET(OtherTRA!AN$46,$E86,0)</f>
        <v>1.8170265392989584</v>
      </c>
      <c r="AL86" s="24">
        <f ca="1">OFFSET(OtherTRA!AO$46,$E86,0)</f>
        <v>1.8170265392989584</v>
      </c>
      <c r="AM86" s="24">
        <f ca="1">OFFSET(OtherTRA!AP$46,$E86,0)</f>
        <v>1.8170265392989584</v>
      </c>
    </row>
    <row r="87" spans="1:39">
      <c r="A87" s="36" t="s">
        <v>152</v>
      </c>
      <c r="B87" s="24">
        <v>52.28615900487997</v>
      </c>
      <c r="E87" s="154">
        <f>MATCH(F87,FTRA!$D$132:$D$144,0)</f>
        <v>1</v>
      </c>
      <c r="F87" s="4" t="str">
        <f>A87</f>
        <v>TFLCV</v>
      </c>
      <c r="G87" s="24">
        <f ca="1">OFFSET(FTRA!K$131,$E87,0)</f>
        <v>43.541669167045889</v>
      </c>
      <c r="H87" s="24">
        <f ca="1">OFFSET(FTRA!L$131,$E87,0)</f>
        <v>43.970834583522958</v>
      </c>
      <c r="I87" s="24">
        <f ca="1">OFFSET(FTRA!M$131,$E87,0)</f>
        <v>44.4</v>
      </c>
      <c r="J87" s="24">
        <f ca="1">OFFSET(FTRA!N$131,$E87,0)</f>
        <v>44.871410582810697</v>
      </c>
      <c r="K87" s="24">
        <f ca="1">OFFSET(FTRA!O$131,$E87,0)</f>
        <v>45.342821165621402</v>
      </c>
      <c r="L87" s="24">
        <f ca="1">OFFSET(FTRA!P$131,$E87,0)</f>
        <v>45.814231748432107</v>
      </c>
      <c r="M87" s="24">
        <f ca="1">OFFSET(FTRA!Q$131,$E87,0)</f>
        <v>46.285642331242812</v>
      </c>
      <c r="N87" s="24">
        <f ca="1">OFFSET(FTRA!R$131,$E87,0)</f>
        <v>45.342821165621402</v>
      </c>
      <c r="O87" s="236">
        <f ca="1">OFFSET(FTRA!S$131,$E87,0)</f>
        <v>45.918669137564208</v>
      </c>
      <c r="P87" s="24">
        <f ca="1">OFFSET(FTRA!T$131,$E87,0)</f>
        <v>46.494517109507015</v>
      </c>
      <c r="Q87" s="24">
        <f ca="1">OFFSET(FTRA!U$131,$E87,0)</f>
        <v>47.070365081449822</v>
      </c>
      <c r="R87" s="24">
        <f ca="1">OFFSET(FTRA!V$131,$E87,0)</f>
        <v>47.646213053392628</v>
      </c>
      <c r="S87" s="24">
        <f ca="1">OFFSET(FTRA!W$131,$E87,0)</f>
        <v>48.222061025335435</v>
      </c>
      <c r="T87" s="236">
        <f ca="1">OFFSET(FTRA!X$131,$E87,0)</f>
        <v>48.797908997278242</v>
      </c>
      <c r="U87" s="24">
        <f ca="1">OFFSET(FTRA!Y$131,$E87,0)</f>
        <v>49.373756969221049</v>
      </c>
      <c r="V87" s="24">
        <f ca="1">OFFSET(FTRA!Z$131,$E87,0)</f>
        <v>49.949604941163855</v>
      </c>
      <c r="W87" s="24">
        <f ca="1">OFFSET(FTRA!AA$131,$E87,0)</f>
        <v>50.525452913106662</v>
      </c>
      <c r="X87" s="24">
        <f ca="1">OFFSET(FTRA!AB$131,$E87,0)</f>
        <v>47.070365081449829</v>
      </c>
      <c r="Y87" s="248">
        <f ca="1">OFFSET(FTRA!AC$131,$E87,0)</f>
        <v>47.746830997196319</v>
      </c>
      <c r="Z87" s="24">
        <f ca="1">OFFSET(FTRA!AD$131,$E87,0)</f>
        <v>48.42329691294281</v>
      </c>
      <c r="AA87" s="24">
        <f ca="1">OFFSET(FTRA!AE$131,$E87,0)</f>
        <v>49.0997628286893</v>
      </c>
      <c r="AB87" s="24">
        <f ca="1">OFFSET(FTRA!AF$131,$E87,0)</f>
        <v>49.776228744435791</v>
      </c>
      <c r="AC87" s="24">
        <f ca="1">OFFSET(FTRA!AG$131,$E87,0)</f>
        <v>50.452694660182281</v>
      </c>
      <c r="AD87" s="24">
        <f ca="1">OFFSET(FTRA!AH$131,$E87,0)</f>
        <v>51.129160575928772</v>
      </c>
      <c r="AE87" s="24">
        <f ca="1">OFFSET(FTRA!AI$131,$E87,0)</f>
        <v>51.805626491675262</v>
      </c>
      <c r="AF87" s="24">
        <f ca="1">OFFSET(FTRA!AJ$131,$E87,0)</f>
        <v>52.482092407421753</v>
      </c>
      <c r="AG87" s="24">
        <f ca="1">OFFSET(FTRA!AK$131,$E87,0)</f>
        <v>53.158558323168243</v>
      </c>
      <c r="AH87" s="24">
        <f ca="1">OFFSET(FTRA!AL$131,$E87,0)</f>
        <v>53.835024238914734</v>
      </c>
      <c r="AI87" s="24">
        <f ca="1">OFFSET(FTRA!AM$131,$E87,0)</f>
        <v>58.605528297446682</v>
      </c>
      <c r="AJ87" s="24">
        <f ca="1">OFFSET(FTRA!AN$131,$E87,0)</f>
        <v>63.376032355978644</v>
      </c>
      <c r="AK87" s="24">
        <f ca="1">OFFSET(FTRA!AO$131,$E87,0)</f>
        <v>63.376032355978644</v>
      </c>
      <c r="AL87" s="24">
        <f ca="1">OFFSET(FTRA!AP$131,$E87,0)</f>
        <v>63.376032355978644</v>
      </c>
      <c r="AM87" s="24">
        <f ca="1">OFFSET(FTRA!AQ$131,$E87,0)</f>
        <v>0</v>
      </c>
    </row>
    <row r="88" spans="1:39">
      <c r="A88" s="36" t="s">
        <v>432</v>
      </c>
      <c r="B88" s="24">
        <v>4.134278411680218</v>
      </c>
      <c r="E88" s="153">
        <f>MATCH(F88,FTRA!$D$132:$D$144,0)</f>
        <v>2</v>
      </c>
      <c r="F88" s="4" t="str">
        <f>A88</f>
        <v>TFHCV1</v>
      </c>
      <c r="G88" s="24">
        <f ca="1">OFFSET(FTRA!K$131,$E88,0)</f>
        <v>3.3405637523176668</v>
      </c>
      <c r="H88" s="24">
        <f ca="1">OFFSET(FTRA!L$131,$E88,0)</f>
        <v>3.3705637523176666</v>
      </c>
      <c r="I88" s="24">
        <f ca="1">OFFSET(FTRA!M$131,$E88,0)</f>
        <v>3.4</v>
      </c>
      <c r="J88" s="24">
        <f ca="1">OFFSET(FTRA!N$131,$E88,0)</f>
        <v>3.4249999999999998</v>
      </c>
      <c r="K88" s="24">
        <f ca="1">OFFSET(FTRA!O$131,$E88,0)</f>
        <v>3.45</v>
      </c>
      <c r="L88" s="24">
        <f ca="1">OFFSET(FTRA!P$131,$E88,0)</f>
        <v>3.4750000000000005</v>
      </c>
      <c r="M88" s="24">
        <f ca="1">OFFSET(FTRA!Q$131,$E88,0)</f>
        <v>3.5000000000000009</v>
      </c>
      <c r="N88" s="24">
        <f ca="1">OFFSET(FTRA!R$131,$E88,0)</f>
        <v>3.45</v>
      </c>
      <c r="O88" s="236">
        <f ca="1">OFFSET(FTRA!S$131,$E88,0)</f>
        <v>3.5046227495160913</v>
      </c>
      <c r="P88" s="24">
        <f ca="1">OFFSET(FTRA!T$131,$E88,0)</f>
        <v>3.5592454990321825</v>
      </c>
      <c r="Q88" s="24">
        <f ca="1">OFFSET(FTRA!U$131,$E88,0)</f>
        <v>3.6138682485482736</v>
      </c>
      <c r="R88" s="24">
        <f ca="1">OFFSET(FTRA!V$131,$E88,0)</f>
        <v>3.6684909980643647</v>
      </c>
      <c r="S88" s="24">
        <f ca="1">OFFSET(FTRA!W$131,$E88,0)</f>
        <v>3.7231137475804559</v>
      </c>
      <c r="T88" s="236">
        <f ca="1">OFFSET(FTRA!X$131,$E88,0)</f>
        <v>3.777736497096547</v>
      </c>
      <c r="U88" s="24">
        <f ca="1">OFFSET(FTRA!Y$131,$E88,0)</f>
        <v>3.8323592466126382</v>
      </c>
      <c r="V88" s="24">
        <f ca="1">OFFSET(FTRA!Z$131,$E88,0)</f>
        <v>3.8869819961287293</v>
      </c>
      <c r="W88" s="24">
        <f ca="1">OFFSET(FTRA!AA$131,$E88,0)</f>
        <v>3.9416047456448204</v>
      </c>
      <c r="X88" s="24">
        <f ca="1">OFFSET(FTRA!AB$131,$E88,0)</f>
        <v>3.6138682485482732</v>
      </c>
      <c r="Y88" s="248">
        <f ca="1">OFFSET(FTRA!AC$131,$E88,0)</f>
        <v>3.6658045080166493</v>
      </c>
      <c r="Z88" s="24">
        <f ca="1">OFFSET(FTRA!AD$131,$E88,0)</f>
        <v>3.7177407674850254</v>
      </c>
      <c r="AA88" s="24">
        <f ca="1">OFFSET(FTRA!AE$131,$E88,0)</f>
        <v>3.7696770269534015</v>
      </c>
      <c r="AB88" s="24">
        <f ca="1">OFFSET(FTRA!AF$131,$E88,0)</f>
        <v>3.8216132864217776</v>
      </c>
      <c r="AC88" s="24">
        <f ca="1">OFFSET(FTRA!AG$131,$E88,0)</f>
        <v>3.8735495458901537</v>
      </c>
      <c r="AD88" s="24">
        <f ca="1">OFFSET(FTRA!AH$131,$E88,0)</f>
        <v>3.9254858053585298</v>
      </c>
      <c r="AE88" s="24">
        <f ca="1">OFFSET(FTRA!AI$131,$E88,0)</f>
        <v>3.9774220648269059</v>
      </c>
      <c r="AF88" s="24">
        <f ca="1">OFFSET(FTRA!AJ$131,$E88,0)</f>
        <v>4.0293583242952824</v>
      </c>
      <c r="AG88" s="24">
        <f ca="1">OFFSET(FTRA!AK$131,$E88,0)</f>
        <v>4.0812945837636585</v>
      </c>
      <c r="AH88" s="24">
        <f ca="1">OFFSET(FTRA!AL$131,$E88,0)</f>
        <v>4.1332308432320355</v>
      </c>
      <c r="AI88" s="24">
        <f ca="1">OFFSET(FTRA!AM$131,$E88,0)</f>
        <v>4.4994904445091333</v>
      </c>
      <c r="AJ88" s="24">
        <f ca="1">OFFSET(FTRA!AN$131,$E88,0)</f>
        <v>4.8657500457862337</v>
      </c>
      <c r="AK88" s="24">
        <f ca="1">OFFSET(FTRA!AO$131,$E88,0)</f>
        <v>4.8657500457862337</v>
      </c>
      <c r="AL88" s="24">
        <f ca="1">OFFSET(FTRA!AP$131,$E88,0)</f>
        <v>4.8657500457862337</v>
      </c>
      <c r="AM88" s="24">
        <f ca="1">OFFSET(FTRA!AQ$131,$E88,0)</f>
        <v>0</v>
      </c>
    </row>
    <row r="89" spans="1:39" s="4" customFormat="1">
      <c r="A89" s="36" t="s">
        <v>433</v>
      </c>
      <c r="B89" s="24">
        <v>0.80954708483781546</v>
      </c>
      <c r="E89" s="153">
        <f>MATCH(F89,FTRA!$D$132:$D$144,0)</f>
        <v>3</v>
      </c>
      <c r="F89" s="4" t="str">
        <f t="shared" ref="F89:F96" si="3">A89</f>
        <v>TFHCV2</v>
      </c>
      <c r="G89" s="24">
        <f ca="1">OFFSET(FTRA!K$131,$E89,0)</f>
        <v>0.67123078144835724</v>
      </c>
      <c r="H89" s="24">
        <f ca="1">OFFSET(FTRA!L$131,$E89,0)</f>
        <v>0.68767760882583318</v>
      </c>
      <c r="I89" s="24">
        <f ca="1">OFFSET(FTRA!M$131,$E89,0)</f>
        <v>0.704124436203308</v>
      </c>
      <c r="J89" s="24">
        <f ca="1">OFFSET(FTRA!N$131,$E89,0)</f>
        <v>0.72006693722491655</v>
      </c>
      <c r="K89" s="24">
        <f ca="1">OFFSET(FTRA!O$131,$E89,0)</f>
        <v>0.73600943824652509</v>
      </c>
      <c r="L89" s="24">
        <f ca="1">OFFSET(FTRA!P$131,$E89,0)</f>
        <v>0.75195193926813364</v>
      </c>
      <c r="M89" s="24">
        <f ca="1">OFFSET(FTRA!Q$131,$E89,0)</f>
        <v>0.76789444028974219</v>
      </c>
      <c r="N89" s="24">
        <f ca="1">OFFSET(FTRA!R$131,$E89,0)</f>
        <v>0.73600943824652509</v>
      </c>
      <c r="O89" s="236">
        <f ca="1">OFFSET(FTRA!S$131,$E89,0)</f>
        <v>0.72897134163823174</v>
      </c>
      <c r="P89" s="24">
        <f ca="1">OFFSET(FTRA!T$131,$E89,0)</f>
        <v>0.72193324502993839</v>
      </c>
      <c r="Q89" s="24">
        <f ca="1">OFFSET(FTRA!U$131,$E89,0)</f>
        <v>0.71489514842164503</v>
      </c>
      <c r="R89" s="24">
        <f ca="1">OFFSET(FTRA!V$131,$E89,0)</f>
        <v>0.70785705181335168</v>
      </c>
      <c r="S89" s="24">
        <f ca="1">OFFSET(FTRA!W$131,$E89,0)</f>
        <v>0.70081895520505832</v>
      </c>
      <c r="T89" s="236">
        <f ca="1">OFFSET(FTRA!X$131,$E89,0)</f>
        <v>0.69378085859676497</v>
      </c>
      <c r="U89" s="24">
        <f ca="1">OFFSET(FTRA!Y$131,$E89,0)</f>
        <v>0.68674276198847162</v>
      </c>
      <c r="V89" s="24">
        <f ca="1">OFFSET(FTRA!Z$131,$E89,0)</f>
        <v>0.67970466538017826</v>
      </c>
      <c r="W89" s="24">
        <f ca="1">OFFSET(FTRA!AA$131,$E89,0)</f>
        <v>0.67266656877188491</v>
      </c>
      <c r="X89" s="24">
        <f ca="1">OFFSET(FTRA!AB$131,$E89,0)</f>
        <v>0.71489514842164503</v>
      </c>
      <c r="Y89" s="248">
        <f ca="1">OFFSET(FTRA!AC$131,$E89,0)</f>
        <v>0.725169175410876</v>
      </c>
      <c r="Z89" s="24">
        <f ca="1">OFFSET(FTRA!AD$131,$E89,0)</f>
        <v>0.73544320240010697</v>
      </c>
      <c r="AA89" s="24">
        <f ca="1">OFFSET(FTRA!AE$131,$E89,0)</f>
        <v>0.74571722938933793</v>
      </c>
      <c r="AB89" s="24">
        <f ca="1">OFFSET(FTRA!AF$131,$E89,0)</f>
        <v>0.7559912563785689</v>
      </c>
      <c r="AC89" s="24">
        <f ca="1">OFFSET(FTRA!AG$131,$E89,0)</f>
        <v>0.76626528336779987</v>
      </c>
      <c r="AD89" s="24">
        <f ca="1">OFFSET(FTRA!AH$131,$E89,0)</f>
        <v>0.77653931035703083</v>
      </c>
      <c r="AE89" s="24">
        <f ca="1">OFFSET(FTRA!AI$131,$E89,0)</f>
        <v>0.7868133373462618</v>
      </c>
      <c r="AF89" s="24">
        <f ca="1">OFFSET(FTRA!AJ$131,$E89,0)</f>
        <v>0.79708736433549277</v>
      </c>
      <c r="AG89" s="24">
        <f ca="1">OFFSET(FTRA!AK$131,$E89,0)</f>
        <v>0.80736139132472373</v>
      </c>
      <c r="AH89" s="24">
        <f ca="1">OFFSET(FTRA!AL$131,$E89,0)</f>
        <v>0.81763541831395481</v>
      </c>
      <c r="AI89" s="24">
        <f ca="1">OFFSET(FTRA!AM$131,$E89,0)</f>
        <v>0.89008886542593124</v>
      </c>
      <c r="AJ89" s="24">
        <f ca="1">OFFSET(FTRA!AN$131,$E89,0)</f>
        <v>0.96254231253790812</v>
      </c>
      <c r="AK89" s="24">
        <f ca="1">OFFSET(FTRA!AO$131,$E89,0)</f>
        <v>0.96254231253790812</v>
      </c>
      <c r="AL89" s="24">
        <f ca="1">OFFSET(FTRA!AP$131,$E89,0)</f>
        <v>0.96254231253790812</v>
      </c>
      <c r="AM89" s="24">
        <f ca="1">OFFSET(FTRA!AQ$131,$E89,0)</f>
        <v>0</v>
      </c>
    </row>
    <row r="90" spans="1:39" s="4" customFormat="1">
      <c r="A90" s="36" t="s">
        <v>434</v>
      </c>
      <c r="B90" s="24">
        <v>2.7195831056144888</v>
      </c>
      <c r="E90" s="153">
        <f>MATCH(F90,FTRA!$D$132:$D$144,0)</f>
        <v>4</v>
      </c>
      <c r="F90" s="4" t="str">
        <f t="shared" si="3"/>
        <v>TFHCV3</v>
      </c>
      <c r="G90" s="24">
        <f ca="1">OFFSET(FTRA!K$131,$E90,0)</f>
        <v>2.7742708985474289</v>
      </c>
      <c r="H90" s="24">
        <f ca="1">OFFSET(FTRA!L$131,$E90,0)</f>
        <v>2.8371354492737191</v>
      </c>
      <c r="I90" s="24">
        <f ca="1">OFFSET(FTRA!M$131,$E90,0)</f>
        <v>2.9</v>
      </c>
      <c r="J90" s="24">
        <f ca="1">OFFSET(FTRA!N$131,$E90,0)</f>
        <v>2.9652984627095749</v>
      </c>
      <c r="K90" s="24">
        <f ca="1">OFFSET(FTRA!O$131,$E90,0)</f>
        <v>3.0305969254191498</v>
      </c>
      <c r="L90" s="24">
        <f ca="1">OFFSET(FTRA!P$131,$E90,0)</f>
        <v>3.0958953881287248</v>
      </c>
      <c r="M90" s="24">
        <f ca="1">OFFSET(FTRA!Q$131,$E90,0)</f>
        <v>3.1611938508382997</v>
      </c>
      <c r="N90" s="24">
        <f ca="1">OFFSET(FTRA!R$131,$E90,0)</f>
        <v>3.0305969254191498</v>
      </c>
      <c r="O90" s="236">
        <f ca="1">OFFSET(FTRA!S$131,$E90,0)</f>
        <v>3.0071718988497271</v>
      </c>
      <c r="P90" s="24">
        <f ca="1">OFFSET(FTRA!T$131,$E90,0)</f>
        <v>2.9837468722803044</v>
      </c>
      <c r="Q90" s="24">
        <f ca="1">OFFSET(FTRA!U$131,$E90,0)</f>
        <v>2.9603218457108817</v>
      </c>
      <c r="R90" s="24">
        <f ca="1">OFFSET(FTRA!V$131,$E90,0)</f>
        <v>2.9368968191414591</v>
      </c>
      <c r="S90" s="24">
        <f ca="1">OFFSET(FTRA!W$131,$E90,0)</f>
        <v>2.9134717925720364</v>
      </c>
      <c r="T90" s="236">
        <f ca="1">OFFSET(FTRA!X$131,$E90,0)</f>
        <v>2.8900467660026137</v>
      </c>
      <c r="U90" s="24">
        <f ca="1">OFFSET(FTRA!Y$131,$E90,0)</f>
        <v>2.866621739433191</v>
      </c>
      <c r="V90" s="24">
        <f ca="1">OFFSET(FTRA!Z$131,$E90,0)</f>
        <v>2.8431967128637683</v>
      </c>
      <c r="W90" s="24">
        <f ca="1">OFFSET(FTRA!AA$131,$E90,0)</f>
        <v>2.8197716862943456</v>
      </c>
      <c r="X90" s="24">
        <f ca="1">OFFSET(FTRA!AB$131,$E90,0)</f>
        <v>2.9603218457108817</v>
      </c>
      <c r="Y90" s="248">
        <f ca="1">OFFSET(FTRA!AC$131,$E90,0)</f>
        <v>3.0028657440808639</v>
      </c>
      <c r="Z90" s="24">
        <f ca="1">OFFSET(FTRA!AD$131,$E90,0)</f>
        <v>3.0454096424508461</v>
      </c>
      <c r="AA90" s="24">
        <f ca="1">OFFSET(FTRA!AE$131,$E90,0)</f>
        <v>3.0879535408208283</v>
      </c>
      <c r="AB90" s="24">
        <f ca="1">OFFSET(FTRA!AF$131,$E90,0)</f>
        <v>3.1304974391908105</v>
      </c>
      <c r="AC90" s="24">
        <f ca="1">OFFSET(FTRA!AG$131,$E90,0)</f>
        <v>3.1730413375607927</v>
      </c>
      <c r="AD90" s="24">
        <f ca="1">OFFSET(FTRA!AH$131,$E90,0)</f>
        <v>3.2155852359307748</v>
      </c>
      <c r="AE90" s="24">
        <f ca="1">OFFSET(FTRA!AI$131,$E90,0)</f>
        <v>3.258129134300757</v>
      </c>
      <c r="AF90" s="24">
        <f ca="1">OFFSET(FTRA!AJ$131,$E90,0)</f>
        <v>3.3006730326707392</v>
      </c>
      <c r="AG90" s="24">
        <f ca="1">OFFSET(FTRA!AK$131,$E90,0)</f>
        <v>3.3432169310407214</v>
      </c>
      <c r="AH90" s="24">
        <f ca="1">OFFSET(FTRA!AL$131,$E90,0)</f>
        <v>3.3857608294107018</v>
      </c>
      <c r="AI90" s="24">
        <f ca="1">OFFSET(FTRA!AM$131,$E90,0)</f>
        <v>3.6857845780068228</v>
      </c>
      <c r="AJ90" s="24">
        <f ca="1">OFFSET(FTRA!AN$131,$E90,0)</f>
        <v>3.9858083266029447</v>
      </c>
      <c r="AK90" s="24">
        <f ca="1">OFFSET(FTRA!AO$131,$E90,0)</f>
        <v>3.9858083266029447</v>
      </c>
      <c r="AL90" s="24">
        <f ca="1">OFFSET(FTRA!AP$131,$E90,0)</f>
        <v>3.9858083266029447</v>
      </c>
      <c r="AM90" s="24">
        <f ca="1">OFFSET(FTRA!AQ$131,$E90,0)</f>
        <v>0</v>
      </c>
    </row>
    <row r="91" spans="1:39" s="4" customFormat="1">
      <c r="A91" s="36" t="s">
        <v>435</v>
      </c>
      <c r="B91" s="24">
        <v>0.66594475210557558</v>
      </c>
      <c r="E91" s="153">
        <f>MATCH(F91,FTRA!$D$132:$D$144,0)</f>
        <v>5</v>
      </c>
      <c r="F91" s="4" t="str">
        <f t="shared" si="3"/>
        <v>TFHCV4</v>
      </c>
      <c r="G91" s="24">
        <f ca="1">OFFSET(FTRA!K$131,$E91,0)</f>
        <v>0.55900373411704862</v>
      </c>
      <c r="H91" s="24">
        <f ca="1">OFFSET(FTRA!L$131,$E91,0)</f>
        <v>0.54776774593732769</v>
      </c>
      <c r="I91" s="24">
        <f ca="1">OFFSET(FTRA!M$131,$E91,0)</f>
        <v>0.53653175775760331</v>
      </c>
      <c r="J91" s="24">
        <f ca="1">OFFSET(FTRA!N$131,$E91,0)</f>
        <v>0.54016937887880168</v>
      </c>
      <c r="K91" s="24">
        <f ca="1">OFFSET(FTRA!O$131,$E91,0)</f>
        <v>0.54380700000000004</v>
      </c>
      <c r="L91" s="24">
        <f ca="1">OFFSET(FTRA!P$131,$E91,0)</f>
        <v>0.5474446211211984</v>
      </c>
      <c r="M91" s="24">
        <f ca="1">OFFSET(FTRA!Q$131,$E91,0)</f>
        <v>0.55108224224239677</v>
      </c>
      <c r="N91" s="24">
        <f ca="1">OFFSET(FTRA!R$131,$E91,0)</f>
        <v>0.54380700000000004</v>
      </c>
      <c r="O91" s="236">
        <f ca="1">OFFSET(FTRA!S$131,$E91,0)</f>
        <v>0.57006783146719719</v>
      </c>
      <c r="P91" s="24">
        <f ca="1">OFFSET(FTRA!T$131,$E91,0)</f>
        <v>0.59632866293439435</v>
      </c>
      <c r="Q91" s="24">
        <f ca="1">OFFSET(FTRA!U$131,$E91,0)</f>
        <v>0.6225894944015915</v>
      </c>
      <c r="R91" s="24">
        <f ca="1">OFFSET(FTRA!V$131,$E91,0)</f>
        <v>0.64885032586878866</v>
      </c>
      <c r="S91" s="24">
        <f ca="1">OFFSET(FTRA!W$131,$E91,0)</f>
        <v>0.67511115733598581</v>
      </c>
      <c r="T91" s="236">
        <f ca="1">OFFSET(FTRA!X$131,$E91,0)</f>
        <v>0.70137198880318297</v>
      </c>
      <c r="U91" s="24">
        <f ca="1">OFFSET(FTRA!Y$131,$E91,0)</f>
        <v>0.72763282027038012</v>
      </c>
      <c r="V91" s="24">
        <f ca="1">OFFSET(FTRA!Z$131,$E91,0)</f>
        <v>0.75389365173757728</v>
      </c>
      <c r="W91" s="24">
        <f ca="1">OFFSET(FTRA!AA$131,$E91,0)</f>
        <v>0.78015448320477443</v>
      </c>
      <c r="X91" s="24">
        <f ca="1">OFFSET(FTRA!AB$131,$E91,0)</f>
        <v>0.6225894944015915</v>
      </c>
      <c r="Y91" s="248">
        <f ca="1">OFFSET(FTRA!AC$131,$E91,0)</f>
        <v>0.63153696212859445</v>
      </c>
      <c r="Z91" s="24">
        <f ca="1">OFFSET(FTRA!AD$131,$E91,0)</f>
        <v>0.64048442985559739</v>
      </c>
      <c r="AA91" s="24">
        <f ca="1">OFFSET(FTRA!AE$131,$E91,0)</f>
        <v>0.64943189758260034</v>
      </c>
      <c r="AB91" s="24">
        <f ca="1">OFFSET(FTRA!AF$131,$E91,0)</f>
        <v>0.65837936530960328</v>
      </c>
      <c r="AC91" s="24">
        <f ca="1">OFFSET(FTRA!AG$131,$E91,0)</f>
        <v>0.66732683303660623</v>
      </c>
      <c r="AD91" s="24">
        <f ca="1">OFFSET(FTRA!AH$131,$E91,0)</f>
        <v>0.67627430076360917</v>
      </c>
      <c r="AE91" s="24">
        <f ca="1">OFFSET(FTRA!AI$131,$E91,0)</f>
        <v>0.68522176849061212</v>
      </c>
      <c r="AF91" s="24">
        <f ca="1">OFFSET(FTRA!AJ$131,$E91,0)</f>
        <v>0.69416923621761506</v>
      </c>
      <c r="AG91" s="24">
        <f ca="1">OFFSET(FTRA!AK$131,$E91,0)</f>
        <v>0.703116703944618</v>
      </c>
      <c r="AH91" s="24">
        <f ca="1">OFFSET(FTRA!AL$131,$E91,0)</f>
        <v>0.7120641716716205</v>
      </c>
      <c r="AI91" s="24">
        <f ca="1">OFFSET(FTRA!AM$131,$E91,0)</f>
        <v>0.77516259261445364</v>
      </c>
      <c r="AJ91" s="24">
        <f ca="1">OFFSET(FTRA!AN$131,$E91,0)</f>
        <v>0.83826101355728655</v>
      </c>
      <c r="AK91" s="24">
        <f ca="1">OFFSET(FTRA!AO$131,$E91,0)</f>
        <v>0.83826101355728655</v>
      </c>
      <c r="AL91" s="24">
        <f ca="1">OFFSET(FTRA!AP$131,$E91,0)</f>
        <v>0.83826101355728655</v>
      </c>
      <c r="AM91" s="24">
        <f ca="1">OFFSET(FTRA!AQ$131,$E91,0)</f>
        <v>0</v>
      </c>
    </row>
    <row r="92" spans="1:39" s="4" customFormat="1">
      <c r="A92" s="36" t="s">
        <v>436</v>
      </c>
      <c r="B92" s="24">
        <v>0.33457448391316724</v>
      </c>
      <c r="E92" s="153">
        <f>MATCH(F92,FTRA!$D$132:$D$144,0)</f>
        <v>6</v>
      </c>
      <c r="F92" s="4" t="str">
        <f t="shared" si="3"/>
        <v>TFHCV5</v>
      </c>
      <c r="G92" s="24">
        <f ca="1">OFFSET(FTRA!K$131,$E92,0)</f>
        <v>0.27740453823694228</v>
      </c>
      <c r="H92" s="24">
        <f ca="1">OFFSET(FTRA!L$131,$E92,0)</f>
        <v>0.28154405711847125</v>
      </c>
      <c r="I92" s="24">
        <f ca="1">OFFSET(FTRA!M$131,$E92,0)</f>
        <v>0.28568357599999999</v>
      </c>
      <c r="J92" s="24">
        <f ca="1">OFFSET(FTRA!N$131,$E92,0)</f>
        <v>0.2876204765</v>
      </c>
      <c r="K92" s="24">
        <f ca="1">OFFSET(FTRA!O$131,$E92,0)</f>
        <v>0.289557377</v>
      </c>
      <c r="L92" s="24">
        <f ca="1">OFFSET(FTRA!P$131,$E92,0)</f>
        <v>0.29149427750000001</v>
      </c>
      <c r="M92" s="24">
        <f ca="1">OFFSET(FTRA!Q$131,$E92,0)</f>
        <v>0.29343117800000001</v>
      </c>
      <c r="N92" s="24">
        <f ca="1">OFFSET(FTRA!R$131,$E92,0)</f>
        <v>0.289557377</v>
      </c>
      <c r="O92" s="236">
        <f ca="1">OFFSET(FTRA!S$131,$E92,0)</f>
        <v>0.29248878274193923</v>
      </c>
      <c r="P92" s="24">
        <f ca="1">OFFSET(FTRA!T$131,$E92,0)</f>
        <v>0.29542018848387847</v>
      </c>
      <c r="Q92" s="24">
        <f ca="1">OFFSET(FTRA!U$131,$E92,0)</f>
        <v>0.2983515942258177</v>
      </c>
      <c r="R92" s="24">
        <f ca="1">OFFSET(FTRA!V$131,$E92,0)</f>
        <v>0.30128299996775693</v>
      </c>
      <c r="S92" s="24">
        <f ca="1">OFFSET(FTRA!W$131,$E92,0)</f>
        <v>0.30421440570969616</v>
      </c>
      <c r="T92" s="236">
        <f ca="1">OFFSET(FTRA!X$131,$E92,0)</f>
        <v>0.30714581145163539</v>
      </c>
      <c r="U92" s="24">
        <f ca="1">OFFSET(FTRA!Y$131,$E92,0)</f>
        <v>0.31007721719357462</v>
      </c>
      <c r="V92" s="24">
        <f ca="1">OFFSET(FTRA!Z$131,$E92,0)</f>
        <v>0.31300862293551385</v>
      </c>
      <c r="W92" s="24">
        <f ca="1">OFFSET(FTRA!AA$131,$E92,0)</f>
        <v>0.31594002867745308</v>
      </c>
      <c r="X92" s="24">
        <f ca="1">OFFSET(FTRA!AB$131,$E92,0)</f>
        <v>0.29835159422581775</v>
      </c>
      <c r="Y92" s="248">
        <f ca="1">OFFSET(FTRA!AC$131,$E92,0)</f>
        <v>0.30263931717109677</v>
      </c>
      <c r="Z92" s="24">
        <f ca="1">OFFSET(FTRA!AD$131,$E92,0)</f>
        <v>0.30692704011637578</v>
      </c>
      <c r="AA92" s="24">
        <f ca="1">OFFSET(FTRA!AE$131,$E92,0)</f>
        <v>0.3112147630616548</v>
      </c>
      <c r="AB92" s="24">
        <f ca="1">OFFSET(FTRA!AF$131,$E92,0)</f>
        <v>0.31550248600693381</v>
      </c>
      <c r="AC92" s="24">
        <f ca="1">OFFSET(FTRA!AG$131,$E92,0)</f>
        <v>0.31979020895221283</v>
      </c>
      <c r="AD92" s="24">
        <f ca="1">OFFSET(FTRA!AH$131,$E92,0)</f>
        <v>0.32407793189749184</v>
      </c>
      <c r="AE92" s="24">
        <f ca="1">OFFSET(FTRA!AI$131,$E92,0)</f>
        <v>0.32836565484277086</v>
      </c>
      <c r="AF92" s="24">
        <f ca="1">OFFSET(FTRA!AJ$131,$E92,0)</f>
        <v>0.33265337778804988</v>
      </c>
      <c r="AG92" s="24">
        <f ca="1">OFFSET(FTRA!AK$131,$E92,0)</f>
        <v>0.33694110073332889</v>
      </c>
      <c r="AH92" s="24">
        <f ca="1">OFFSET(FTRA!AL$131,$E92,0)</f>
        <v>0.34122882367860796</v>
      </c>
      <c r="AI92" s="24">
        <f ca="1">OFFSET(FTRA!AM$131,$E92,0)</f>
        <v>0.37146626689072043</v>
      </c>
      <c r="AJ92" s="24">
        <f ca="1">OFFSET(FTRA!AN$131,$E92,0)</f>
        <v>0.40170371010283296</v>
      </c>
      <c r="AK92" s="24">
        <f ca="1">OFFSET(FTRA!AO$131,$E92,0)</f>
        <v>0.40170371010283296</v>
      </c>
      <c r="AL92" s="24">
        <f ca="1">OFFSET(FTRA!AP$131,$E92,0)</f>
        <v>0.40170371010283296</v>
      </c>
      <c r="AM92" s="24">
        <f ca="1">OFFSET(FTRA!AQ$131,$E92,0)</f>
        <v>0</v>
      </c>
    </row>
    <row r="93" spans="1:39" s="4" customFormat="1">
      <c r="A93" s="36" t="s">
        <v>437</v>
      </c>
      <c r="B93" s="24">
        <v>4.2080971938397562</v>
      </c>
      <c r="E93" s="153">
        <f>MATCH(F93,FTRA!$D$132:$D$144,0)</f>
        <v>7</v>
      </c>
      <c r="F93" s="4" t="str">
        <f t="shared" si="3"/>
        <v>TFHCV6</v>
      </c>
      <c r="G93" s="24">
        <f ca="1">OFFSET(FTRA!K$131,$E93,0)</f>
        <v>5.3607583408806443</v>
      </c>
      <c r="H93" s="24">
        <f ca="1">OFFSET(FTRA!L$131,$E93,0)</f>
        <v>5.6853791704403243</v>
      </c>
      <c r="I93" s="24">
        <f ca="1">OFFSET(FTRA!M$131,$E93,0)</f>
        <v>6.01</v>
      </c>
      <c r="J93" s="24">
        <f ca="1">OFFSET(FTRA!N$131,$E93,0)</f>
        <v>6.3253919226144593</v>
      </c>
      <c r="K93" s="24">
        <f ca="1">OFFSET(FTRA!O$131,$E93,0)</f>
        <v>6.6407838452289187</v>
      </c>
      <c r="L93" s="24">
        <f ca="1">OFFSET(FTRA!P$131,$E93,0)</f>
        <v>6.9561757678433782</v>
      </c>
      <c r="M93" s="24">
        <f ca="1">OFFSET(FTRA!Q$131,$E93,0)</f>
        <v>7.2715676904578377</v>
      </c>
      <c r="N93" s="24">
        <f ca="1">OFFSET(FTRA!R$131,$E93,0)</f>
        <v>6.6407838452289196</v>
      </c>
      <c r="O93" s="236">
        <f ca="1">OFFSET(FTRA!S$131,$E93,0)</f>
        <v>6.2600127394663838</v>
      </c>
      <c r="P93" s="24">
        <f ca="1">OFFSET(FTRA!T$131,$E93,0)</f>
        <v>5.879241633703848</v>
      </c>
      <c r="Q93" s="24">
        <f ca="1">OFFSET(FTRA!U$131,$E93,0)</f>
        <v>5.4984705279413122</v>
      </c>
      <c r="R93" s="24">
        <f ca="1">OFFSET(FTRA!V$131,$E93,0)</f>
        <v>5.1176994221787764</v>
      </c>
      <c r="S93" s="24">
        <f ca="1">OFFSET(FTRA!W$131,$E93,0)</f>
        <v>4.7369283164162406</v>
      </c>
      <c r="T93" s="236">
        <f ca="1">OFFSET(FTRA!X$131,$E93,0)</f>
        <v>4.3561572106537048</v>
      </c>
      <c r="U93" s="24">
        <f ca="1">OFFSET(FTRA!Y$131,$E93,0)</f>
        <v>3.9753861048911685</v>
      </c>
      <c r="V93" s="24">
        <f ca="1">OFFSET(FTRA!Z$131,$E93,0)</f>
        <v>3.5946149991286322</v>
      </c>
      <c r="W93" s="24">
        <f ca="1">OFFSET(FTRA!AA$131,$E93,0)</f>
        <v>3.213843893366096</v>
      </c>
      <c r="X93" s="24">
        <f ca="1">OFFSET(FTRA!AB$131,$E93,0)</f>
        <v>5.4984705279413113</v>
      </c>
      <c r="Y93" s="248">
        <f ca="1">OFFSET(FTRA!AC$131,$E93,0)</f>
        <v>5.5774911154054765</v>
      </c>
      <c r="Z93" s="24">
        <f ca="1">OFFSET(FTRA!AD$131,$E93,0)</f>
        <v>5.6565117028696417</v>
      </c>
      <c r="AA93" s="24">
        <f ca="1">OFFSET(FTRA!AE$131,$E93,0)</f>
        <v>5.7355322903338068</v>
      </c>
      <c r="AB93" s="24">
        <f ca="1">OFFSET(FTRA!AF$131,$E93,0)</f>
        <v>5.814552877797972</v>
      </c>
      <c r="AC93" s="24">
        <f ca="1">OFFSET(FTRA!AG$131,$E93,0)</f>
        <v>5.8935734652621372</v>
      </c>
      <c r="AD93" s="24">
        <f ca="1">OFFSET(FTRA!AH$131,$E93,0)</f>
        <v>5.9725940527263024</v>
      </c>
      <c r="AE93" s="24">
        <f ca="1">OFFSET(FTRA!AI$131,$E93,0)</f>
        <v>6.0516146401904676</v>
      </c>
      <c r="AF93" s="24">
        <f ca="1">OFFSET(FTRA!AJ$131,$E93,0)</f>
        <v>6.1306352276546328</v>
      </c>
      <c r="AG93" s="24">
        <f ca="1">OFFSET(FTRA!AK$131,$E93,0)</f>
        <v>6.2096558151187979</v>
      </c>
      <c r="AH93" s="24">
        <f ca="1">OFFSET(FTRA!AL$131,$E93,0)</f>
        <v>6.2886764025829658</v>
      </c>
      <c r="AI93" s="24">
        <f ca="1">OFFSET(FTRA!AM$131,$E93,0)</f>
        <v>6.8459373442364582</v>
      </c>
      <c r="AJ93" s="24">
        <f ca="1">OFFSET(FTRA!AN$131,$E93,0)</f>
        <v>7.4031982858899488</v>
      </c>
      <c r="AK93" s="24">
        <f ca="1">OFFSET(FTRA!AO$131,$E93,0)</f>
        <v>7.4031982858899488</v>
      </c>
      <c r="AL93" s="24">
        <f ca="1">OFFSET(FTRA!AP$131,$E93,0)</f>
        <v>7.4031982858899488</v>
      </c>
      <c r="AM93" s="24">
        <f ca="1">OFFSET(FTRA!AQ$131,$E93,0)</f>
        <v>0</v>
      </c>
    </row>
    <row r="94" spans="1:39" s="4" customFormat="1">
      <c r="A94" s="36" t="s">
        <v>438</v>
      </c>
      <c r="B94" s="24">
        <v>1.4910262867673953</v>
      </c>
      <c r="E94" s="153">
        <f>MATCH(F94,FTRA!$D$132:$D$144,0)</f>
        <v>8</v>
      </c>
      <c r="F94" s="4" t="str">
        <f t="shared" si="3"/>
        <v>TFHCV7</v>
      </c>
      <c r="G94" s="24">
        <f ca="1">OFFSET(FTRA!K$131,$E94,0)</f>
        <v>1.6102045790167996</v>
      </c>
      <c r="H94" s="24">
        <f ca="1">OFFSET(FTRA!L$131,$E94,0)</f>
        <v>1.6551022895084029</v>
      </c>
      <c r="I94" s="24">
        <f ca="1">OFFSET(FTRA!M$131,$E94,0)</f>
        <v>1.7</v>
      </c>
      <c r="J94" s="24">
        <f ca="1">OFFSET(FTRA!N$131,$E94,0)</f>
        <v>1.74</v>
      </c>
      <c r="K94" s="24">
        <f ca="1">OFFSET(FTRA!O$131,$E94,0)</f>
        <v>1.78</v>
      </c>
      <c r="L94" s="24">
        <f ca="1">OFFSET(FTRA!P$131,$E94,0)</f>
        <v>1.82</v>
      </c>
      <c r="M94" s="24">
        <f ca="1">OFFSET(FTRA!Q$131,$E94,0)</f>
        <v>1.86</v>
      </c>
      <c r="N94" s="24">
        <f ca="1">OFFSET(FTRA!R$131,$E94,0)</f>
        <v>1.78</v>
      </c>
      <c r="O94" s="236">
        <f ca="1">OFFSET(FTRA!S$131,$E94,0)</f>
        <v>1.7563356285395482</v>
      </c>
      <c r="P94" s="24">
        <f ca="1">OFFSET(FTRA!T$131,$E94,0)</f>
        <v>1.7326712570790963</v>
      </c>
      <c r="Q94" s="24">
        <f ca="1">OFFSET(FTRA!U$131,$E94,0)</f>
        <v>1.7090068856186444</v>
      </c>
      <c r="R94" s="24">
        <f ca="1">OFFSET(FTRA!V$131,$E94,0)</f>
        <v>1.6853425141581926</v>
      </c>
      <c r="S94" s="24">
        <f ca="1">OFFSET(FTRA!W$131,$E94,0)</f>
        <v>1.6616781426977407</v>
      </c>
      <c r="T94" s="236">
        <f ca="1">OFFSET(FTRA!X$131,$E94,0)</f>
        <v>1.6380137712372889</v>
      </c>
      <c r="U94" s="24">
        <f ca="1">OFFSET(FTRA!Y$131,$E94,0)</f>
        <v>1.614349399776837</v>
      </c>
      <c r="V94" s="24">
        <f ca="1">OFFSET(FTRA!Z$131,$E94,0)</f>
        <v>1.5906850283163851</v>
      </c>
      <c r="W94" s="24">
        <f ca="1">OFFSET(FTRA!AA$131,$E94,0)</f>
        <v>1.5670206568559333</v>
      </c>
      <c r="X94" s="24">
        <f ca="1">OFFSET(FTRA!AB$131,$E94,0)</f>
        <v>1.7090068856186442</v>
      </c>
      <c r="Y94" s="248">
        <f ca="1">OFFSET(FTRA!AC$131,$E94,0)</f>
        <v>1.7335676661840085</v>
      </c>
      <c r="Z94" s="24">
        <f ca="1">OFFSET(FTRA!AD$131,$E94,0)</f>
        <v>1.7581284467493727</v>
      </c>
      <c r="AA94" s="24">
        <f ca="1">OFFSET(FTRA!AE$131,$E94,0)</f>
        <v>1.782689227314737</v>
      </c>
      <c r="AB94" s="24">
        <f ca="1">OFFSET(FTRA!AF$131,$E94,0)</f>
        <v>1.8072500078801013</v>
      </c>
      <c r="AC94" s="24">
        <f ca="1">OFFSET(FTRA!AG$131,$E94,0)</f>
        <v>1.8318107884454655</v>
      </c>
      <c r="AD94" s="24">
        <f ca="1">OFFSET(FTRA!AH$131,$E94,0)</f>
        <v>1.8563715690108298</v>
      </c>
      <c r="AE94" s="24">
        <f ca="1">OFFSET(FTRA!AI$131,$E94,0)</f>
        <v>1.880932349576194</v>
      </c>
      <c r="AF94" s="24">
        <f ca="1">OFFSET(FTRA!AJ$131,$E94,0)</f>
        <v>1.9054931301415583</v>
      </c>
      <c r="AG94" s="24">
        <f ca="1">OFFSET(FTRA!AK$131,$E94,0)</f>
        <v>1.9300539107069226</v>
      </c>
      <c r="AH94" s="24">
        <f ca="1">OFFSET(FTRA!AL$131,$E94,0)</f>
        <v>1.9546146912722866</v>
      </c>
      <c r="AI94" s="24">
        <f ca="1">OFFSET(FTRA!AM$131,$E94,0)</f>
        <v>2.1278197273877977</v>
      </c>
      <c r="AJ94" s="24">
        <f ca="1">OFFSET(FTRA!AN$131,$E94,0)</f>
        <v>2.3010247635033085</v>
      </c>
      <c r="AK94" s="24">
        <f ca="1">OFFSET(FTRA!AO$131,$E94,0)</f>
        <v>2.3010247635033085</v>
      </c>
      <c r="AL94" s="24">
        <f ca="1">OFFSET(FTRA!AP$131,$E94,0)</f>
        <v>2.3010247635033085</v>
      </c>
      <c r="AM94" s="24">
        <f ca="1">OFFSET(FTRA!AQ$131,$E94,0)</f>
        <v>0</v>
      </c>
    </row>
    <row r="95" spans="1:39" s="4" customFormat="1">
      <c r="A95" s="36" t="s">
        <v>439</v>
      </c>
      <c r="B95" s="24">
        <v>0</v>
      </c>
      <c r="E95" s="153">
        <f>MATCH(F95,FTRA!$D$132:$D$144,0)</f>
        <v>9</v>
      </c>
      <c r="F95" s="4" t="str">
        <f t="shared" si="3"/>
        <v>TFHCV8</v>
      </c>
      <c r="G95" s="24">
        <f ca="1">OFFSET(FTRA!K$131,$E95,0)</f>
        <v>6.5622085483256903E-2</v>
      </c>
      <c r="H95" s="24">
        <f ca="1">OFFSET(FTRA!L$131,$E95,0)</f>
        <v>7.2758014044539868E-2</v>
      </c>
      <c r="I95" s="24">
        <f ca="1">OFFSET(FTRA!M$131,$E95,0)</f>
        <v>7.9893942605822804E-2</v>
      </c>
      <c r="J95" s="24">
        <f ca="1">OFFSET(FTRA!N$131,$E95,0)</f>
        <v>9.0970063028559395E-2</v>
      </c>
      <c r="K95" s="24">
        <f ca="1">OFFSET(FTRA!O$131,$E95,0)</f>
        <v>0.10204618345129599</v>
      </c>
      <c r="L95" s="24">
        <f ca="1">OFFSET(FTRA!P$131,$E95,0)</f>
        <v>0.11312230387403258</v>
      </c>
      <c r="M95" s="24">
        <f ca="1">OFFSET(FTRA!Q$131,$E95,0)</f>
        <v>0.12419842429676917</v>
      </c>
      <c r="N95" s="24">
        <f ca="1">OFFSET(FTRA!R$131,$E95,0)</f>
        <v>0.102046183451296</v>
      </c>
      <c r="O95" s="236">
        <f ca="1">OFFSET(FTRA!S$131,$E95,0)</f>
        <v>8.9315911372357781E-2</v>
      </c>
      <c r="P95" s="24">
        <f ca="1">OFFSET(FTRA!T$131,$E95,0)</f>
        <v>7.6585639293419563E-2</v>
      </c>
      <c r="Q95" s="24">
        <f ca="1">OFFSET(FTRA!U$131,$E95,0)</f>
        <v>6.3855367214481346E-2</v>
      </c>
      <c r="R95" s="24">
        <f ca="1">OFFSET(FTRA!V$131,$E95,0)</f>
        <v>5.1125095135543135E-2</v>
      </c>
      <c r="S95" s="24">
        <f ca="1">OFFSET(FTRA!W$131,$E95,0)</f>
        <v>3.8394823056604924E-2</v>
      </c>
      <c r="T95" s="236">
        <f ca="1">OFFSET(FTRA!X$131,$E95,0)</f>
        <v>2.5664550977666713E-2</v>
      </c>
      <c r="U95" s="24">
        <f ca="1">OFFSET(FTRA!Y$131,$E95,0)</f>
        <v>1.29342788987285E-2</v>
      </c>
      <c r="V95" s="24">
        <f ca="1">OFFSET(FTRA!Z$131,$E95,0)</f>
        <v>2.0400681979028737E-4</v>
      </c>
      <c r="W95" s="24">
        <f ca="1">OFFSET(FTRA!AA$131,$E95,0)</f>
        <v>-1.2526265259147925E-2</v>
      </c>
      <c r="X95" s="24">
        <f ca="1">OFFSET(FTRA!AB$131,$E95,0)</f>
        <v>6.3855367214481359E-2</v>
      </c>
      <c r="Y95" s="248">
        <f ca="1">OFFSET(FTRA!AC$131,$E95,0)</f>
        <v>6.4773056707293386E-2</v>
      </c>
      <c r="Z95" s="24">
        <f ca="1">OFFSET(FTRA!AD$131,$E95,0)</f>
        <v>6.5690746200105413E-2</v>
      </c>
      <c r="AA95" s="24">
        <f ca="1">OFFSET(FTRA!AE$131,$E95,0)</f>
        <v>6.6608435692917439E-2</v>
      </c>
      <c r="AB95" s="24">
        <f ca="1">OFFSET(FTRA!AF$131,$E95,0)</f>
        <v>6.7526125185729466E-2</v>
      </c>
      <c r="AC95" s="24">
        <f ca="1">OFFSET(FTRA!AG$131,$E95,0)</f>
        <v>6.8443814678541492E-2</v>
      </c>
      <c r="AD95" s="24">
        <f ca="1">OFFSET(FTRA!AH$131,$E95,0)</f>
        <v>6.9361504171353519E-2</v>
      </c>
      <c r="AE95" s="24">
        <f ca="1">OFFSET(FTRA!AI$131,$E95,0)</f>
        <v>7.0279193664165546E-2</v>
      </c>
      <c r="AF95" s="24">
        <f ca="1">OFFSET(FTRA!AJ$131,$E95,0)</f>
        <v>7.1196883156977572E-2</v>
      </c>
      <c r="AG95" s="24">
        <f ca="1">OFFSET(FTRA!AK$131,$E95,0)</f>
        <v>7.2114572649789599E-2</v>
      </c>
      <c r="AH95" s="24">
        <f ca="1">OFFSET(FTRA!AL$131,$E95,0)</f>
        <v>7.3032262142601598E-2</v>
      </c>
      <c r="AI95" s="24">
        <f ca="1">OFFSET(FTRA!AM$131,$E95,0)</f>
        <v>7.9503898551807672E-2</v>
      </c>
      <c r="AJ95" s="24">
        <f ca="1">OFFSET(FTRA!AN$131,$E95,0)</f>
        <v>8.5975534961013692E-2</v>
      </c>
      <c r="AK95" s="24">
        <f ca="1">OFFSET(FTRA!AO$131,$E95,0)</f>
        <v>8.5975534961013692E-2</v>
      </c>
      <c r="AL95" s="24">
        <f ca="1">OFFSET(FTRA!AP$131,$E95,0)</f>
        <v>8.5975534961013692E-2</v>
      </c>
      <c r="AM95" s="24">
        <f ca="1">OFFSET(FTRA!AQ$131,$E95,0)</f>
        <v>0</v>
      </c>
    </row>
    <row r="96" spans="1:39">
      <c r="A96" s="36" t="s">
        <v>440</v>
      </c>
      <c r="B96" s="24">
        <v>4.2946824044977329E-2</v>
      </c>
      <c r="E96" s="153">
        <f>MATCH(F96,FTRA!$D$132:$D$144,0)</f>
        <v>10</v>
      </c>
      <c r="F96" s="4" t="str">
        <f t="shared" si="3"/>
        <v>TFHCV9</v>
      </c>
      <c r="G96" s="24">
        <f ca="1">OFFSET(FTRA!K$131,$E96,0)</f>
        <v>3.4102559292729893E-2</v>
      </c>
      <c r="H96" s="24">
        <f ca="1">OFFSET(FTRA!L$131,$E96,0)</f>
        <v>2.8235745635144794E-2</v>
      </c>
      <c r="I96" s="24">
        <f ca="1">OFFSET(FTRA!M$131,$E96,0)</f>
        <v>2.2368931977559604E-2</v>
      </c>
      <c r="J96" s="24">
        <f ca="1">OFFSET(FTRA!N$131,$E96,0)</f>
        <v>2.2519965988779801E-2</v>
      </c>
      <c r="K96" s="24">
        <f ca="1">OFFSET(FTRA!O$131,$E96,0)</f>
        <v>2.2670999999999997E-2</v>
      </c>
      <c r="L96" s="24">
        <f ca="1">OFFSET(FTRA!P$131,$E96,0)</f>
        <v>2.2822034011220193E-2</v>
      </c>
      <c r="M96" s="24">
        <f ca="1">OFFSET(FTRA!Q$131,$E96,0)</f>
        <v>2.2973068022440389E-2</v>
      </c>
      <c r="N96" s="24">
        <f ca="1">OFFSET(FTRA!R$131,$E96,0)</f>
        <v>2.2670999999999997E-2</v>
      </c>
      <c r="O96" s="236">
        <f ca="1">OFFSET(FTRA!S$131,$E96,0)</f>
        <v>2.9660228380617045E-2</v>
      </c>
      <c r="P96" s="24">
        <f ca="1">OFFSET(FTRA!T$131,$E96,0)</f>
        <v>3.6649456761234094E-2</v>
      </c>
      <c r="Q96" s="24">
        <f ca="1">OFFSET(FTRA!U$131,$E96,0)</f>
        <v>4.3638685141851138E-2</v>
      </c>
      <c r="R96" s="24">
        <f ca="1">OFFSET(FTRA!V$131,$E96,0)</f>
        <v>5.0627913522468183E-2</v>
      </c>
      <c r="S96" s="24">
        <f ca="1">OFFSET(FTRA!W$131,$E96,0)</f>
        <v>5.7617141903085228E-2</v>
      </c>
      <c r="T96" s="236">
        <f ca="1">OFFSET(FTRA!X$131,$E96,0)</f>
        <v>6.460637028370228E-2</v>
      </c>
      <c r="U96" s="24">
        <f ca="1">OFFSET(FTRA!Y$131,$E96,0)</f>
        <v>7.1595598664319332E-2</v>
      </c>
      <c r="V96" s="24">
        <f ca="1">OFFSET(FTRA!Z$131,$E96,0)</f>
        <v>7.8584827044936384E-2</v>
      </c>
      <c r="W96" s="24">
        <f ca="1">OFFSET(FTRA!AA$131,$E96,0)</f>
        <v>8.5574055425553436E-2</v>
      </c>
      <c r="X96" s="24">
        <f ca="1">OFFSET(FTRA!AB$131,$E96,0)</f>
        <v>4.3638685141851138E-2</v>
      </c>
      <c r="Y96" s="248">
        <f ca="1">OFFSET(FTRA!AC$131,$E96,0)</f>
        <v>4.4265833094822696E-2</v>
      </c>
      <c r="Z96" s="24">
        <f ca="1">OFFSET(FTRA!AD$131,$E96,0)</f>
        <v>4.4892981047794253E-2</v>
      </c>
      <c r="AA96" s="24">
        <f ca="1">OFFSET(FTRA!AE$131,$E96,0)</f>
        <v>4.552012900076581E-2</v>
      </c>
      <c r="AB96" s="24">
        <f ca="1">OFFSET(FTRA!AF$131,$E96,0)</f>
        <v>4.6147276953737368E-2</v>
      </c>
      <c r="AC96" s="24">
        <f ca="1">OFFSET(FTRA!AG$131,$E96,0)</f>
        <v>4.6774424906708925E-2</v>
      </c>
      <c r="AD96" s="24">
        <f ca="1">OFFSET(FTRA!AH$131,$E96,0)</f>
        <v>4.7401572859680483E-2</v>
      </c>
      <c r="AE96" s="24">
        <f ca="1">OFFSET(FTRA!AI$131,$E96,0)</f>
        <v>4.802872081265204E-2</v>
      </c>
      <c r="AF96" s="24">
        <f ca="1">OFFSET(FTRA!AJ$131,$E96,0)</f>
        <v>4.8655868765623597E-2</v>
      </c>
      <c r="AG96" s="24">
        <f ca="1">OFFSET(FTRA!AK$131,$E96,0)</f>
        <v>4.9283016718595155E-2</v>
      </c>
      <c r="AH96" s="24">
        <f ca="1">OFFSET(FTRA!AL$131,$E96,0)</f>
        <v>4.9910164671566698E-2</v>
      </c>
      <c r="AI96" s="24">
        <f ca="1">OFFSET(FTRA!AM$131,$E96,0)</f>
        <v>5.4332873614188461E-2</v>
      </c>
      <c r="AJ96" s="24">
        <f ca="1">OFFSET(FTRA!AN$131,$E96,0)</f>
        <v>5.8755582556810203E-2</v>
      </c>
      <c r="AK96" s="24">
        <f ca="1">OFFSET(FTRA!AO$131,$E96,0)</f>
        <v>5.8755582556810203E-2</v>
      </c>
      <c r="AL96" s="24">
        <f ca="1">OFFSET(FTRA!AP$131,$E96,0)</f>
        <v>5.8755582556810203E-2</v>
      </c>
      <c r="AM96" s="24">
        <f ca="1">OFFSET(FTRA!AQ$131,$E96,0)</f>
        <v>0</v>
      </c>
    </row>
    <row r="97" spans="1:39">
      <c r="A97" s="36" t="s">
        <v>394</v>
      </c>
      <c r="B97">
        <v>28</v>
      </c>
      <c r="E97" s="153">
        <f>MATCH(F97,FTRA!$D$132:$D$144,0)</f>
        <v>11</v>
      </c>
      <c r="F97" s="4" t="str">
        <f t="shared" si="1"/>
        <v>TFRCO</v>
      </c>
      <c r="G97" s="24">
        <f ca="1">OFFSET(FTRA!K$131,$E97,0)</f>
        <v>22.410704476932139</v>
      </c>
      <c r="H97" s="24">
        <f ca="1">OFFSET(FTRA!L$131,$E97,0)</f>
        <v>22.821408953864278</v>
      </c>
      <c r="I97" s="24">
        <f ca="1">OFFSET(FTRA!M$131,$E97,0)</f>
        <v>23.232113430796417</v>
      </c>
      <c r="J97" s="24">
        <f ca="1">OFFSET(FTRA!N$131,$E97,0)</f>
        <v>23.390018838037079</v>
      </c>
      <c r="K97" s="24">
        <f ca="1">OFFSET(FTRA!O$131,$E97,0)</f>
        <v>23.547924245277741</v>
      </c>
      <c r="L97" s="24">
        <f ca="1">OFFSET(FTRA!P$131,$E97,0)</f>
        <v>23.705829652518403</v>
      </c>
      <c r="M97" s="24">
        <f ca="1">OFFSET(FTRA!Q$131,$E97,0)</f>
        <v>23.863735059759065</v>
      </c>
      <c r="N97" s="24">
        <f ca="1">OFFSET(FTRA!R$131,$E97,0)</f>
        <v>23.547924245277745</v>
      </c>
      <c r="O97" s="236">
        <f ca="1">OFFSET(FTRA!S$131,$E97,0)</f>
        <v>23.705172202598256</v>
      </c>
      <c r="P97" s="24">
        <f ca="1">OFFSET(FTRA!T$131,$E97,0)</f>
        <v>23.862420159918766</v>
      </c>
      <c r="Q97" s="24">
        <f ca="1">OFFSET(FTRA!U$131,$E97,0)</f>
        <v>24.019668117239277</v>
      </c>
      <c r="R97" s="24">
        <f ca="1">OFFSET(FTRA!V$131,$E97,0)</f>
        <v>24.176916074559788</v>
      </c>
      <c r="S97" s="24">
        <f ca="1">OFFSET(FTRA!W$131,$E97,0)</f>
        <v>24.334164031880299</v>
      </c>
      <c r="T97" s="236">
        <f ca="1">OFFSET(FTRA!X$131,$E97,0)</f>
        <v>24.49141198920081</v>
      </c>
      <c r="U97" s="24">
        <f ca="1">OFFSET(FTRA!Y$131,$E97,0)</f>
        <v>24.64865994652132</v>
      </c>
      <c r="V97" s="24">
        <f ca="1">OFFSET(FTRA!Z$131,$E97,0)</f>
        <v>24.805907903841831</v>
      </c>
      <c r="W97" s="24">
        <f ca="1">OFFSET(FTRA!AA$131,$E97,0)</f>
        <v>24.963155861162342</v>
      </c>
      <c r="X97" s="24">
        <f ca="1">OFFSET(FTRA!AB$131,$E97,0)</f>
        <v>24.019668117239277</v>
      </c>
      <c r="Y97" s="248">
        <f ca="1">OFFSET(FTRA!AC$131,$E97,0)</f>
        <v>24.364863799506431</v>
      </c>
      <c r="Z97" s="24">
        <f ca="1">OFFSET(FTRA!AD$131,$E97,0)</f>
        <v>24.710059481773584</v>
      </c>
      <c r="AA97" s="24">
        <f ca="1">OFFSET(FTRA!AE$131,$E97,0)</f>
        <v>25.055255164040737</v>
      </c>
      <c r="AB97" s="24">
        <f ca="1">OFFSET(FTRA!AF$131,$E97,0)</f>
        <v>25.400450846307891</v>
      </c>
      <c r="AC97" s="24">
        <f ca="1">OFFSET(FTRA!AG$131,$E97,0)</f>
        <v>25.745646528575044</v>
      </c>
      <c r="AD97" s="24">
        <f ca="1">OFFSET(FTRA!AH$131,$E97,0)</f>
        <v>26.090842210842197</v>
      </c>
      <c r="AE97" s="24">
        <f ca="1">OFFSET(FTRA!AI$131,$E97,0)</f>
        <v>26.436037893109351</v>
      </c>
      <c r="AF97" s="24">
        <f ca="1">OFFSET(FTRA!AJ$131,$E97,0)</f>
        <v>26.781233575376504</v>
      </c>
      <c r="AG97" s="24">
        <f ca="1">OFFSET(FTRA!AK$131,$E97,0)</f>
        <v>27.126429257643657</v>
      </c>
      <c r="AH97" s="24">
        <f ca="1">OFFSET(FTRA!AL$131,$E97,0)</f>
        <v>27.471624939910804</v>
      </c>
      <c r="AI97" s="24">
        <f ca="1">OFFSET(FTRA!AM$131,$E97,0)</f>
        <v>29.905978785257084</v>
      </c>
      <c r="AJ97" s="24">
        <f ca="1">OFFSET(FTRA!AN$131,$E97,0)</f>
        <v>32.340332630603356</v>
      </c>
      <c r="AK97" s="24">
        <f ca="1">OFFSET(FTRA!AO$131,$E97,0)</f>
        <v>32.340332630603356</v>
      </c>
      <c r="AL97" s="24">
        <f ca="1">OFFSET(FTRA!AP$131,$E97,0)</f>
        <v>32.340332630603356</v>
      </c>
      <c r="AM97" s="24">
        <f ca="1">OFFSET(FTRA!AQ$131,$E97,0)</f>
        <v>0</v>
      </c>
    </row>
    <row r="98" spans="1:39">
      <c r="A98" s="36" t="s">
        <v>396</v>
      </c>
      <c r="B98">
        <v>26</v>
      </c>
      <c r="E98" s="155">
        <f>MATCH(F98,FTRA!$D$132:$D$144,0)</f>
        <v>12</v>
      </c>
      <c r="F98" s="4" t="str">
        <f>A98</f>
        <v>TFROT</v>
      </c>
      <c r="G98" s="24">
        <f ca="1">OFFSET(FTRA!K$131,$E98,0)</f>
        <v>25.568576471408942</v>
      </c>
      <c r="H98" s="24">
        <f ca="1">OFFSET(FTRA!L$131,$E98,0)</f>
        <v>26.037152942817887</v>
      </c>
      <c r="I98" s="24">
        <f ca="1">OFFSET(FTRA!M$131,$E98,0)</f>
        <v>26.505729414226828</v>
      </c>
      <c r="J98" s="24">
        <f ca="1">OFFSET(FTRA!N$131,$E98,0)</f>
        <v>26.685885128851403</v>
      </c>
      <c r="K98" s="24">
        <f ca="1">OFFSET(FTRA!O$131,$E98,0)</f>
        <v>26.866040843475979</v>
      </c>
      <c r="L98" s="24">
        <f ca="1">OFFSET(FTRA!P$131,$E98,0)</f>
        <v>27.046196558100554</v>
      </c>
      <c r="M98" s="24">
        <f ca="1">OFFSET(FTRA!Q$131,$E98,0)</f>
        <v>27.22635227272513</v>
      </c>
      <c r="N98" s="24">
        <f ca="1">OFFSET(FTRA!R$131,$E98,0)</f>
        <v>26.866040843475982</v>
      </c>
      <c r="O98" s="236">
        <f ca="1">OFFSET(FTRA!S$131,$E98,0)</f>
        <v>27.045446467509837</v>
      </c>
      <c r="P98" s="24">
        <f ca="1">OFFSET(FTRA!T$131,$E98,0)</f>
        <v>27.224852091543692</v>
      </c>
      <c r="Q98" s="24">
        <f ca="1">OFFSET(FTRA!U$131,$E98,0)</f>
        <v>27.404257715577547</v>
      </c>
      <c r="R98" s="24">
        <f ca="1">OFFSET(FTRA!V$131,$E98,0)</f>
        <v>27.583663339611402</v>
      </c>
      <c r="S98" s="24">
        <f ca="1">OFFSET(FTRA!W$131,$E98,0)</f>
        <v>27.763068963645257</v>
      </c>
      <c r="T98" s="236">
        <f ca="1">OFFSET(FTRA!X$131,$E98,0)</f>
        <v>27.942474587679111</v>
      </c>
      <c r="U98" s="24">
        <f ca="1">OFFSET(FTRA!Y$131,$E98,0)</f>
        <v>28.121880211712966</v>
      </c>
      <c r="V98" s="24">
        <f ca="1">OFFSET(FTRA!Z$131,$E98,0)</f>
        <v>28.301285835746821</v>
      </c>
      <c r="W98" s="24">
        <f ca="1">OFFSET(FTRA!AA$131,$E98,0)</f>
        <v>28.480691459780676</v>
      </c>
      <c r="X98" s="24">
        <f ca="1">OFFSET(FTRA!AB$131,$E98,0)</f>
        <v>27.404257715577543</v>
      </c>
      <c r="Y98" s="248">
        <f ca="1">OFFSET(FTRA!AC$131,$E98,0)</f>
        <v>27.798094607618705</v>
      </c>
      <c r="Z98" s="24">
        <f ca="1">OFFSET(FTRA!AD$131,$E98,0)</f>
        <v>28.191931499659866</v>
      </c>
      <c r="AA98" s="24">
        <f ca="1">OFFSET(FTRA!AE$131,$E98,0)</f>
        <v>28.585768391701027</v>
      </c>
      <c r="AB98" s="24">
        <f ca="1">OFFSET(FTRA!AF$131,$E98,0)</f>
        <v>28.979605283742188</v>
      </c>
      <c r="AC98" s="24">
        <f ca="1">OFFSET(FTRA!AG$131,$E98,0)</f>
        <v>29.373442175783349</v>
      </c>
      <c r="AD98" s="24">
        <f ca="1">OFFSET(FTRA!AH$131,$E98,0)</f>
        <v>29.767279067824511</v>
      </c>
      <c r="AE98" s="24">
        <f ca="1">OFFSET(FTRA!AI$131,$E98,0)</f>
        <v>30.161115959865672</v>
      </c>
      <c r="AF98" s="24">
        <f ca="1">OFFSET(FTRA!AJ$131,$E98,0)</f>
        <v>30.554952851906833</v>
      </c>
      <c r="AG98" s="24">
        <f ca="1">OFFSET(FTRA!AK$131,$E98,0)</f>
        <v>30.948789743947994</v>
      </c>
      <c r="AH98" s="24">
        <f ca="1">OFFSET(FTRA!AL$131,$E98,0)</f>
        <v>31.342626635989149</v>
      </c>
      <c r="AI98" s="24">
        <f ca="1">OFFSET(FTRA!AM$131,$E98,0)</f>
        <v>34.120003068634226</v>
      </c>
      <c r="AJ98" s="24">
        <f ca="1">OFFSET(FTRA!AN$131,$E98,0)</f>
        <v>36.897379501279289</v>
      </c>
      <c r="AK98" s="24">
        <f ca="1">OFFSET(FTRA!AO$131,$E98,0)</f>
        <v>36.897379501279289</v>
      </c>
      <c r="AL98" s="24">
        <f ca="1">OFFSET(FTRA!AP$131,$E98,0)</f>
        <v>36.897379501279289</v>
      </c>
      <c r="AM98" s="24">
        <f ca="1">OFFSET(FTRA!AQ$131,$E98,0)</f>
        <v>0</v>
      </c>
    </row>
    <row r="99" spans="1:39">
      <c r="A99" s="36" t="s">
        <v>395</v>
      </c>
      <c r="B99">
        <v>67</v>
      </c>
      <c r="E99" s="154">
        <f>MATCH(F99,FTRA!$D$132:$D$144,0)</f>
        <v>13</v>
      </c>
      <c r="F99" s="4" t="str">
        <f t="shared" si="1"/>
        <v>TFREX</v>
      </c>
      <c r="G99" s="24">
        <f ca="1">OFFSET(FTRA!K$131,$E99,0)</f>
        <v>82</v>
      </c>
      <c r="H99" s="24">
        <f ca="1">OFFSET(FTRA!L$131,$E99,0)</f>
        <v>82</v>
      </c>
      <c r="I99" s="24">
        <f ca="1">OFFSET(FTRA!M$131,$E99,0)</f>
        <v>82</v>
      </c>
      <c r="J99" s="24">
        <f ca="1">OFFSET(FTRA!N$131,$E99,0)</f>
        <v>82</v>
      </c>
      <c r="K99" s="24">
        <f ca="1">OFFSET(FTRA!O$131,$E99,0)</f>
        <v>82</v>
      </c>
      <c r="L99" s="24">
        <f ca="1">OFFSET(FTRA!P$131,$E99,0)</f>
        <v>82</v>
      </c>
      <c r="M99" s="24">
        <f ca="1">OFFSET(FTRA!Q$131,$E99,0)</f>
        <v>82</v>
      </c>
      <c r="N99" s="24">
        <f ca="1">OFFSET(FTRA!R$131,$E99,0)</f>
        <v>82</v>
      </c>
      <c r="O99" s="236">
        <f ca="1">OFFSET(FTRA!S$131,$E99,0)</f>
        <v>82.025471944098541</v>
      </c>
      <c r="P99" s="24">
        <f ca="1">OFFSET(FTRA!T$131,$E99,0)</f>
        <v>82.050943888197082</v>
      </c>
      <c r="Q99" s="24">
        <f ca="1">OFFSET(FTRA!U$131,$E99,0)</f>
        <v>82.076415832295623</v>
      </c>
      <c r="R99" s="24">
        <f ca="1">OFFSET(FTRA!V$131,$E99,0)</f>
        <v>82.101887776394165</v>
      </c>
      <c r="S99" s="24">
        <f ca="1">OFFSET(FTRA!W$131,$E99,0)</f>
        <v>82.127359720492706</v>
      </c>
      <c r="T99" s="236">
        <f ca="1">OFFSET(FTRA!X$131,$E99,0)</f>
        <v>82.152831664591247</v>
      </c>
      <c r="U99" s="24">
        <f ca="1">OFFSET(FTRA!Y$131,$E99,0)</f>
        <v>82.178303608689788</v>
      </c>
      <c r="V99" s="24">
        <f ca="1">OFFSET(FTRA!Z$131,$E99,0)</f>
        <v>82.203775552788329</v>
      </c>
      <c r="W99" s="24">
        <f ca="1">OFFSET(FTRA!AA$131,$E99,0)</f>
        <v>82.22924749688687</v>
      </c>
      <c r="X99" s="24">
        <f ca="1">OFFSET(FTRA!AB$131,$E99,0)</f>
        <v>82.076415832295638</v>
      </c>
      <c r="Y99" s="248">
        <f ca="1">OFFSET(FTRA!AC$131,$E99,0)</f>
        <v>83.126860111102957</v>
      </c>
      <c r="Z99" s="24">
        <f ca="1">OFFSET(FTRA!AD$131,$E99,0)</f>
        <v>84.177304389910276</v>
      </c>
      <c r="AA99" s="24">
        <f ca="1">OFFSET(FTRA!AE$131,$E99,0)</f>
        <v>85.227748668717595</v>
      </c>
      <c r="AB99" s="24">
        <f ca="1">OFFSET(FTRA!AF$131,$E99,0)</f>
        <v>86.278192947524914</v>
      </c>
      <c r="AC99" s="24">
        <f ca="1">OFFSET(FTRA!AG$131,$E99,0)</f>
        <v>87.328637226332233</v>
      </c>
      <c r="AD99" s="24">
        <f ca="1">OFFSET(FTRA!AH$131,$E99,0)</f>
        <v>88.379081505139553</v>
      </c>
      <c r="AE99" s="24">
        <f ca="1">OFFSET(FTRA!AI$131,$E99,0)</f>
        <v>89.429525783946872</v>
      </c>
      <c r="AF99" s="24">
        <f ca="1">OFFSET(FTRA!AJ$131,$E99,0)</f>
        <v>90.479970062754191</v>
      </c>
      <c r="AG99" s="24">
        <f ca="1">OFFSET(FTRA!AK$131,$E99,0)</f>
        <v>91.53041434156151</v>
      </c>
      <c r="AH99" s="24">
        <f ca="1">OFFSET(FTRA!AL$131,$E99,0)</f>
        <v>92.580858620368858</v>
      </c>
      <c r="AI99" s="24">
        <f ca="1">OFFSET(FTRA!AM$131,$E99,0)</f>
        <v>100.79773001416626</v>
      </c>
      <c r="AJ99" s="24">
        <f ca="1">OFFSET(FTRA!AN$131,$E99,0)</f>
        <v>109.01460140796371</v>
      </c>
      <c r="AK99" s="24">
        <f ca="1">OFFSET(FTRA!AO$131,$E99,0)</f>
        <v>109.01460140796371</v>
      </c>
      <c r="AL99" s="24">
        <f ca="1">OFFSET(FTRA!AP$131,$E99,0)</f>
        <v>109.01460140796371</v>
      </c>
      <c r="AM99" s="24">
        <f ca="1">OFFSET(FTRA!AQ$131,$E99,0)</f>
        <v>0</v>
      </c>
    </row>
    <row r="100" spans="1:39">
      <c r="A100" s="36" t="s">
        <v>129</v>
      </c>
      <c r="B100">
        <v>73.203613436309993</v>
      </c>
      <c r="E100" s="153">
        <f>MATCH(F100,PTRA!$D$214:$D$221,0)</f>
        <v>1</v>
      </c>
      <c r="F100" s="4" t="str">
        <f t="shared" si="1"/>
        <v>TPPRCAR</v>
      </c>
      <c r="G100" s="24">
        <f ca="1">OFFSET(PTRA!K$213,$E100,0)</f>
        <v>88.690745659737829</v>
      </c>
      <c r="H100" s="24">
        <f ca="1">OFFSET(PTRA!L$213,$E100,0)</f>
        <v>89.945372829868916</v>
      </c>
      <c r="I100" s="24">
        <f ca="1">OFFSET(PTRA!M$213,$E100,0)</f>
        <v>91.2</v>
      </c>
      <c r="J100" s="24">
        <f ca="1">OFFSET(PTRA!N$213,$E100,0)</f>
        <v>92.44</v>
      </c>
      <c r="K100" s="24">
        <f ca="1">OFFSET(PTRA!O$213,$E100,0)</f>
        <v>93.68</v>
      </c>
      <c r="L100" s="24">
        <f ca="1">OFFSET(PTRA!P$213,$E100,0)</f>
        <v>94.920000000000016</v>
      </c>
      <c r="M100" s="24">
        <f ca="1">OFFSET(PTRA!Q$213,$E100,0)</f>
        <v>96.160000000000025</v>
      </c>
      <c r="N100" s="24">
        <f ca="1">OFFSET(PTRA!R$213,$E100,0)</f>
        <v>93.68</v>
      </c>
      <c r="O100" s="236">
        <f ca="1">OFFSET(PTRA!S$213,$E100,0)</f>
        <v>93.721288102870531</v>
      </c>
      <c r="P100" s="24">
        <f ca="1">OFFSET(PTRA!T$213,$E100,0)</f>
        <v>93.762576205741055</v>
      </c>
      <c r="Q100" s="24">
        <f ca="1">OFFSET(PTRA!U$213,$E100,0)</f>
        <v>93.80386430861158</v>
      </c>
      <c r="R100" s="24">
        <f ca="1">OFFSET(PTRA!V$213,$E100,0)</f>
        <v>93.845152411482104</v>
      </c>
      <c r="S100" s="24">
        <f ca="1">OFFSET(PTRA!W$213,$E100,0)</f>
        <v>93.886440514352628</v>
      </c>
      <c r="T100" s="236">
        <f ca="1">OFFSET(PTRA!X$213,$E100,0)</f>
        <v>93.927728617223153</v>
      </c>
      <c r="U100" s="24">
        <f ca="1">OFFSET(PTRA!Y$213,$E100,0)</f>
        <v>93.969016720093677</v>
      </c>
      <c r="V100" s="24">
        <f ca="1">OFFSET(PTRA!Z$213,$E100,0)</f>
        <v>94.010304822964201</v>
      </c>
      <c r="W100" s="24">
        <f ca="1">OFFSET(PTRA!AA$213,$E100,0)</f>
        <v>94.051592925834726</v>
      </c>
      <c r="X100" s="24">
        <f ca="1">OFFSET(PTRA!AB$213,$E100,0)</f>
        <v>93.803864308611566</v>
      </c>
      <c r="Y100" s="248">
        <f ca="1">OFFSET(PTRA!AC$213,$E100,0)</f>
        <v>95.676061294162153</v>
      </c>
      <c r="Z100" s="24">
        <f ca="1">OFFSET(PTRA!AD$213,$E100,0)</f>
        <v>97.548258279712741</v>
      </c>
      <c r="AA100" s="24">
        <f ca="1">OFFSET(PTRA!AE$213,$E100,0)</f>
        <v>99.420455265263328</v>
      </c>
      <c r="AB100" s="24">
        <f ca="1">OFFSET(PTRA!AF$213,$E100,0)</f>
        <v>101.29265225081392</v>
      </c>
      <c r="AC100" s="24">
        <f ca="1">OFFSET(PTRA!AG$213,$E100,0)</f>
        <v>103.1648492363645</v>
      </c>
      <c r="AD100" s="24">
        <f ca="1">OFFSET(PTRA!AH$213,$E100,0)</f>
        <v>105.03704622191509</v>
      </c>
      <c r="AE100" s="24">
        <f ca="1">OFFSET(PTRA!AI$213,$E100,0)</f>
        <v>106.90924320746568</v>
      </c>
      <c r="AF100" s="24">
        <f ca="1">OFFSET(PTRA!AJ$213,$E100,0)</f>
        <v>108.78144019301627</v>
      </c>
      <c r="AG100" s="24">
        <f ca="1">OFFSET(PTRA!AK$213,$E100,0)</f>
        <v>110.65363717856685</v>
      </c>
      <c r="AH100" s="24">
        <f ca="1">OFFSET(PTRA!AL$213,$E100,0)</f>
        <v>112.52583416411741</v>
      </c>
      <c r="AI100" s="24">
        <f ca="1">OFFSET(PTRA!AM$213,$E100,0)</f>
        <v>122.91397599932131</v>
      </c>
      <c r="AJ100" s="24">
        <f ca="1">OFFSET(PTRA!AN$213,$E100,0)</f>
        <v>133.30211783452521</v>
      </c>
      <c r="AK100" s="24">
        <f ca="1">OFFSET(PTRA!AO$213,$E100,0)</f>
        <v>133.30211783452521</v>
      </c>
      <c r="AL100" s="24">
        <f ca="1">OFFSET(PTRA!AP$213,$E100,0)</f>
        <v>133.30211783452521</v>
      </c>
      <c r="AM100" s="24">
        <f ca="1">OFFSET(PTRA!AQ$213,$E100,0)</f>
        <v>0</v>
      </c>
    </row>
    <row r="101" spans="1:39">
      <c r="A101" s="36" t="s">
        <v>184</v>
      </c>
      <c r="B101">
        <v>2.2210937076119999</v>
      </c>
      <c r="E101" s="154">
        <f>MATCH(F101,PTRA!$D$214:$D$221,0)</f>
        <v>3</v>
      </c>
      <c r="F101" s="4" t="str">
        <f t="shared" si="1"/>
        <v>TPPRMOT</v>
      </c>
      <c r="G101" s="24">
        <f ca="1">OFFSET(PTRA!K$213,$E101,0)</f>
        <v>4.4924367074740132</v>
      </c>
      <c r="H101" s="24">
        <f ca="1">OFFSET(PTRA!L$213,$E101,0)</f>
        <v>4.1962183537370059</v>
      </c>
      <c r="I101" s="24">
        <f ca="1">OFFSET(PTRA!M$213,$E101,0)</f>
        <v>3.9</v>
      </c>
      <c r="J101" s="24">
        <f ca="1">OFFSET(PTRA!N$213,$E101,0)</f>
        <v>3.6673978942403949</v>
      </c>
      <c r="K101" s="24">
        <f ca="1">OFFSET(PTRA!O$213,$E101,0)</f>
        <v>3.4347957884807903</v>
      </c>
      <c r="L101" s="24">
        <f ca="1">OFFSET(PTRA!P$213,$E101,0)</f>
        <v>3.2021936827211857</v>
      </c>
      <c r="M101" s="24">
        <f ca="1">OFFSET(PTRA!Q$213,$E101,0)</f>
        <v>2.969591576961581</v>
      </c>
      <c r="N101" s="24">
        <f ca="1">OFFSET(PTRA!R$213,$E101,0)</f>
        <v>3.4347957884807903</v>
      </c>
      <c r="O101" s="236">
        <f ca="1">OFFSET(PTRA!S$213,$E101,0)</f>
        <v>3.5137193005772782</v>
      </c>
      <c r="P101" s="24">
        <f ca="1">OFFSET(PTRA!T$213,$E101,0)</f>
        <v>3.5926428126737662</v>
      </c>
      <c r="Q101" s="24">
        <f ca="1">OFFSET(PTRA!U$213,$E101,0)</f>
        <v>3.6715663247702541</v>
      </c>
      <c r="R101" s="24">
        <f ca="1">OFFSET(PTRA!V$213,$E101,0)</f>
        <v>3.7504898368667421</v>
      </c>
      <c r="S101" s="24">
        <f ca="1">OFFSET(PTRA!W$213,$E101,0)</f>
        <v>3.82941334896323</v>
      </c>
      <c r="T101" s="236">
        <f ca="1">OFFSET(PTRA!X$213,$E101,0)</f>
        <v>3.908336861059718</v>
      </c>
      <c r="U101" s="24">
        <f ca="1">OFFSET(PTRA!Y$213,$E101,0)</f>
        <v>3.987260373156206</v>
      </c>
      <c r="V101" s="24">
        <f ca="1">OFFSET(PTRA!Z$213,$E101,0)</f>
        <v>4.0661838852526939</v>
      </c>
      <c r="W101" s="24">
        <f ca="1">OFFSET(PTRA!AA$213,$E101,0)</f>
        <v>4.1451073973491823</v>
      </c>
      <c r="X101" s="24">
        <f ca="1">OFFSET(PTRA!AB$213,$E101,0)</f>
        <v>3.6715663247702541</v>
      </c>
      <c r="Y101" s="248">
        <f ca="1">OFFSET(PTRA!AC$213,$E101,0)</f>
        <v>3.7448457728628082</v>
      </c>
      <c r="Z101" s="24">
        <f ca="1">OFFSET(PTRA!AD$213,$E101,0)</f>
        <v>3.8181252209553627</v>
      </c>
      <c r="AA101" s="24">
        <f ca="1">OFFSET(PTRA!AE$213,$E101,0)</f>
        <v>3.8914046690479172</v>
      </c>
      <c r="AB101" s="24">
        <f ca="1">OFFSET(PTRA!AF$213,$E101,0)</f>
        <v>3.9646841171404716</v>
      </c>
      <c r="AC101" s="24">
        <f ca="1">OFFSET(PTRA!AG$213,$E101,0)</f>
        <v>4.0379635652330261</v>
      </c>
      <c r="AD101" s="24">
        <f ca="1">OFFSET(PTRA!AH$213,$E101,0)</f>
        <v>4.1112430133255806</v>
      </c>
      <c r="AE101" s="24">
        <f ca="1">OFFSET(PTRA!AI$213,$E101,0)</f>
        <v>4.1845224614181351</v>
      </c>
      <c r="AF101" s="24">
        <f ca="1">OFFSET(PTRA!AJ$213,$E101,0)</f>
        <v>4.2578019095106896</v>
      </c>
      <c r="AG101" s="24">
        <f ca="1">OFFSET(PTRA!AK$213,$E101,0)</f>
        <v>4.3310813576032441</v>
      </c>
      <c r="AH101" s="24">
        <f ca="1">OFFSET(PTRA!AL$213,$E101,0)</f>
        <v>4.4043608056957968</v>
      </c>
      <c r="AI101" s="24">
        <f ca="1">OFFSET(PTRA!AM$213,$E101,0)</f>
        <v>4.8109618771995244</v>
      </c>
      <c r="AJ101" s="24">
        <f ca="1">OFFSET(PTRA!AN$213,$E101,0)</f>
        <v>5.217562948703252</v>
      </c>
      <c r="AK101" s="24">
        <f ca="1">OFFSET(PTRA!AO$213,$E101,0)</f>
        <v>5.217562948703252</v>
      </c>
      <c r="AL101" s="24">
        <f ca="1">OFFSET(PTRA!AP$213,$E101,0)</f>
        <v>5.217562948703252</v>
      </c>
      <c r="AM101" s="24">
        <f ca="1">OFFSET(PTRA!AQ$213,$E101,0)</f>
        <v>0</v>
      </c>
    </row>
    <row r="102" spans="1:39">
      <c r="A102" s="36" t="s">
        <v>128</v>
      </c>
      <c r="B102">
        <v>9.7306216335790001</v>
      </c>
      <c r="E102" s="154">
        <f>MATCH(F102,PTRA!$D$214:$D$221,0)</f>
        <v>2</v>
      </c>
      <c r="F102" s="4" t="str">
        <f t="shared" si="1"/>
        <v>TPPRSUV</v>
      </c>
      <c r="G102" s="24">
        <f ca="1">OFFSET(PTRA!K$213,$E102,0)</f>
        <v>11.468606546014028</v>
      </c>
      <c r="H102" s="24">
        <f ca="1">OFFSET(PTRA!L$213,$E102,0)</f>
        <v>12.891525846556059</v>
      </c>
      <c r="I102" s="24">
        <f ca="1">OFFSET(PTRA!M$213,$E102,0)</f>
        <v>14.314445147098091</v>
      </c>
      <c r="J102" s="24">
        <f ca="1">OFFSET(PTRA!N$213,$E102,0)</f>
        <v>15.854410734058231</v>
      </c>
      <c r="K102" s="24">
        <f ca="1">OFFSET(PTRA!O$213,$E102,0)</f>
        <v>17.39437632101837</v>
      </c>
      <c r="L102" s="24">
        <f ca="1">OFFSET(PTRA!P$213,$E102,0)</f>
        <v>18.93434190797851</v>
      </c>
      <c r="M102" s="24">
        <f ca="1">OFFSET(PTRA!Q$213,$E102,0)</f>
        <v>20.47430749493865</v>
      </c>
      <c r="N102" s="24">
        <f ca="1">OFFSET(PTRA!R$213,$E102,0)</f>
        <v>17.39437632101837</v>
      </c>
      <c r="O102" s="236">
        <f ca="1">OFFSET(PTRA!S$213,$E102,0)</f>
        <v>15.186483467637832</v>
      </c>
      <c r="P102" s="24">
        <f ca="1">OFFSET(PTRA!T$213,$E102,0)</f>
        <v>12.978590614257293</v>
      </c>
      <c r="Q102" s="24">
        <f ca="1">OFFSET(PTRA!U$213,$E102,0)</f>
        <v>10.770697760876754</v>
      </c>
      <c r="R102" s="24">
        <f ca="1">OFFSET(PTRA!V$213,$E102,0)</f>
        <v>8.5628049074962149</v>
      </c>
      <c r="S102" s="24">
        <f ca="1">OFFSET(PTRA!W$213,$E102,0)</f>
        <v>6.3549120541156761</v>
      </c>
      <c r="T102" s="236">
        <f ca="1">OFFSET(PTRA!X$213,$E102,0)</f>
        <v>4.1470192007351372</v>
      </c>
      <c r="U102" s="24">
        <f ca="1">OFFSET(PTRA!Y$213,$E102,0)</f>
        <v>1.9391263473545979</v>
      </c>
      <c r="V102" s="24">
        <f ca="1">OFFSET(PTRA!Z$213,$E102,0)</f>
        <v>-0.26876650602594143</v>
      </c>
      <c r="W102" s="24">
        <f ca="1">OFFSET(PTRA!AA$213,$E102,0)</f>
        <v>-2.4766593594064807</v>
      </c>
      <c r="X102" s="24">
        <f ca="1">OFFSET(PTRA!AB$213,$E102,0)</f>
        <v>10.770697760876752</v>
      </c>
      <c r="Y102" s="248">
        <f ca="1">OFFSET(PTRA!AC$213,$E102,0)</f>
        <v>10.985666174265866</v>
      </c>
      <c r="Z102" s="24">
        <f ca="1">OFFSET(PTRA!AD$213,$E102,0)</f>
        <v>11.20063458765498</v>
      </c>
      <c r="AA102" s="24">
        <f ca="1">OFFSET(PTRA!AE$213,$E102,0)</f>
        <v>11.415603001044094</v>
      </c>
      <c r="AB102" s="24">
        <f ca="1">OFFSET(PTRA!AF$213,$E102,0)</f>
        <v>11.630571414433208</v>
      </c>
      <c r="AC102" s="24">
        <f ca="1">OFFSET(PTRA!AG$213,$E102,0)</f>
        <v>11.845539827822321</v>
      </c>
      <c r="AD102" s="24">
        <f ca="1">OFFSET(PTRA!AH$213,$E102,0)</f>
        <v>12.060508241211435</v>
      </c>
      <c r="AE102" s="24">
        <f ca="1">OFFSET(PTRA!AI$213,$E102,0)</f>
        <v>12.275476654600549</v>
      </c>
      <c r="AF102" s="24">
        <f ca="1">OFFSET(PTRA!AJ$213,$E102,0)</f>
        <v>12.490445067989663</v>
      </c>
      <c r="AG102" s="24">
        <f ca="1">OFFSET(PTRA!AK$213,$E102,0)</f>
        <v>12.705413481378777</v>
      </c>
      <c r="AH102" s="24">
        <f ca="1">OFFSET(PTRA!AL$213,$E102,0)</f>
        <v>12.920381894767884</v>
      </c>
      <c r="AI102" s="24">
        <f ca="1">OFFSET(PTRA!AM$213,$E102,0)</f>
        <v>14.113163629601265</v>
      </c>
      <c r="AJ102" s="24">
        <f ca="1">OFFSET(PTRA!AN$213,$E102,0)</f>
        <v>15.305945364434647</v>
      </c>
      <c r="AK102" s="24">
        <f ca="1">OFFSET(PTRA!AO$213,$E102,0)</f>
        <v>15.305945364434647</v>
      </c>
      <c r="AL102" s="24">
        <f ca="1">OFFSET(PTRA!AP$213,$E102,0)</f>
        <v>15.305945364434647</v>
      </c>
      <c r="AM102" s="24">
        <f ca="1">OFFSET(PTRA!AQ$213,$E102,0)</f>
        <v>0</v>
      </c>
    </row>
    <row r="103" spans="1:39">
      <c r="A103" s="36" t="s">
        <v>132</v>
      </c>
      <c r="B103" t="s">
        <v>398</v>
      </c>
      <c r="E103" s="154">
        <f>MATCH(F103,PTRA!$D$214:$D$221,0)</f>
        <v>6</v>
      </c>
      <c r="F103" s="4" t="str">
        <f t="shared" si="1"/>
        <v>TPPUBRT</v>
      </c>
      <c r="G103" s="24">
        <f ca="1">OFFSET(PTRA!K$213,$E103,0)</f>
        <v>2.3283952202556055E-2</v>
      </c>
      <c r="H103" s="24">
        <f ca="1">OFFSET(PTRA!L$213,$E103,0)</f>
        <v>2.3660983976108128E-2</v>
      </c>
      <c r="I103" s="24">
        <f ca="1">OFFSET(PTRA!M$213,$E103,0)</f>
        <v>2.4038015749660205E-2</v>
      </c>
      <c r="J103" s="24">
        <f ca="1">OFFSET(PTRA!N$213,$E103,0)</f>
        <v>2.4436702510710735E-2</v>
      </c>
      <c r="K103" s="24">
        <f ca="1">OFFSET(PTRA!O$213,$E103,0)</f>
        <v>2.4835389271761266E-2</v>
      </c>
      <c r="L103" s="24">
        <f ca="1">OFFSET(PTRA!P$213,$E103,0)</f>
        <v>2.5234076032811796E-2</v>
      </c>
      <c r="M103" s="24">
        <f ca="1">OFFSET(PTRA!Q$213,$E103,0)</f>
        <v>2.5632762793862326E-2</v>
      </c>
      <c r="N103" s="24">
        <f ca="1">OFFSET(PTRA!R$213,$E103,0)</f>
        <v>2.4835389271761269E-2</v>
      </c>
      <c r="O103" s="236">
        <f ca="1">OFFSET(PTRA!S$213,$E103,0)</f>
        <v>8.9559578034404161E-2</v>
      </c>
      <c r="P103" s="24">
        <f ca="1">OFFSET(PTRA!T$213,$E103,0)</f>
        <v>0.15428376679704706</v>
      </c>
      <c r="Q103" s="24">
        <f ca="1">OFFSET(PTRA!U$213,$E103,0)</f>
        <v>0.21900795555968994</v>
      </c>
      <c r="R103" s="24">
        <f ca="1">OFFSET(PTRA!V$213,$E103,0)</f>
        <v>0.28373214432233285</v>
      </c>
      <c r="S103" s="24">
        <f ca="1">OFFSET(PTRA!W$213,$E103,0)</f>
        <v>0.34845633308497576</v>
      </c>
      <c r="T103" s="236">
        <f ca="1">OFFSET(PTRA!X$213,$E103,0)</f>
        <v>0.41318052184761866</v>
      </c>
      <c r="U103" s="24">
        <f ca="1">OFFSET(PTRA!Y$213,$E103,0)</f>
        <v>0.47790471061026157</v>
      </c>
      <c r="V103" s="24">
        <f ca="1">OFFSET(PTRA!Z$213,$E103,0)</f>
        <v>0.54262889937290448</v>
      </c>
      <c r="W103" s="24">
        <f ca="1">OFFSET(PTRA!AA$213,$E103,0)</f>
        <v>0.60735308813554734</v>
      </c>
      <c r="X103" s="24">
        <f ca="1">OFFSET(PTRA!AB$213,$E103,0)</f>
        <v>0.21900795555968994</v>
      </c>
      <c r="Y103" s="248">
        <f ca="1">OFFSET(PTRA!AC$213,$E103,0)</f>
        <v>0.25002995445579612</v>
      </c>
      <c r="Z103" s="24">
        <f ca="1">OFFSET(PTRA!AD$213,$E103,0)</f>
        <v>0.28105195335190225</v>
      </c>
      <c r="AA103" s="24">
        <f ca="1">OFFSET(PTRA!AE$213,$E103,0)</f>
        <v>0.31207395224800838</v>
      </c>
      <c r="AB103" s="24">
        <f ca="1">OFFSET(PTRA!AF$213,$E103,0)</f>
        <v>0.34309595114411451</v>
      </c>
      <c r="AC103" s="24">
        <f ca="1">OFFSET(PTRA!AG$213,$E103,0)</f>
        <v>0.37411795004022064</v>
      </c>
      <c r="AD103" s="24">
        <f ca="1">OFFSET(PTRA!AH$213,$E103,0)</f>
        <v>0.40513994893632677</v>
      </c>
      <c r="AE103" s="24">
        <f ca="1">OFFSET(PTRA!AI$213,$E103,0)</f>
        <v>0.43616194783243289</v>
      </c>
      <c r="AF103" s="24">
        <f ca="1">OFFSET(PTRA!AJ$213,$E103,0)</f>
        <v>0.46718394672853902</v>
      </c>
      <c r="AG103" s="24">
        <f ca="1">OFFSET(PTRA!AK$213,$E103,0)</f>
        <v>0.49820594562464515</v>
      </c>
      <c r="AH103" s="24">
        <f ca="1">OFFSET(PTRA!AL$213,$E103,0)</f>
        <v>0.5292279445207515</v>
      </c>
      <c r="AI103" s="24">
        <f ca="1">OFFSET(PTRA!AM$213,$E103,0)</f>
        <v>0.77659340774482299</v>
      </c>
      <c r="AJ103" s="24">
        <f ca="1">OFFSET(PTRA!AN$213,$E103,0)</f>
        <v>1.0239588709688945</v>
      </c>
      <c r="AK103" s="24">
        <f ca="1">OFFSET(PTRA!AO$213,$E103,0)</f>
        <v>1.0239588709688945</v>
      </c>
      <c r="AL103" s="24">
        <f ca="1">OFFSET(PTRA!AP$213,$E103,0)</f>
        <v>1.0239588709688945</v>
      </c>
      <c r="AM103" s="24">
        <f ca="1">OFFSET(PTRA!AQ$213,$E103,0)</f>
        <v>0</v>
      </c>
    </row>
    <row r="104" spans="1:39">
      <c r="A104" s="36" t="s">
        <v>130</v>
      </c>
      <c r="B104">
        <v>0.62801975359410001</v>
      </c>
      <c r="E104" s="154">
        <f>MATCH(F104,PTRA!$D$214:$D$221,0)</f>
        <v>4</v>
      </c>
      <c r="F104" s="4" t="str">
        <f t="shared" si="1"/>
        <v>TPPUBUS</v>
      </c>
      <c r="G104" s="24">
        <f ca="1">OFFSET(PTRA!K$213,$E104,0)</f>
        <v>0.6286609931450593</v>
      </c>
      <c r="H104" s="24">
        <f ca="1">OFFSET(PTRA!L$213,$E104,0)</f>
        <v>0.63933049657252961</v>
      </c>
      <c r="I104" s="24">
        <f ca="1">OFFSET(PTRA!M$213,$E104,0)</f>
        <v>0.65</v>
      </c>
      <c r="J104" s="24">
        <f ca="1">OFFSET(PTRA!N$213,$E104,0)</f>
        <v>0.66077214814486951</v>
      </c>
      <c r="K104" s="24">
        <f ca="1">OFFSET(PTRA!O$213,$E104,0)</f>
        <v>0.671544296289739</v>
      </c>
      <c r="L104" s="24">
        <f ca="1">OFFSET(PTRA!P$213,$E104,0)</f>
        <v>0.68231644443460848</v>
      </c>
      <c r="M104" s="24">
        <f ca="1">OFFSET(PTRA!Q$213,$E104,0)</f>
        <v>0.69308859257947797</v>
      </c>
      <c r="N104" s="24">
        <f ca="1">OFFSET(PTRA!R$213,$E104,0)</f>
        <v>0.671544296289739</v>
      </c>
      <c r="O104" s="236">
        <f ca="1">OFFSET(PTRA!S$213,$E104,0)</f>
        <v>0.6791310931208675</v>
      </c>
      <c r="P104" s="24">
        <f ca="1">OFFSET(PTRA!T$213,$E104,0)</f>
        <v>0.68671788995199601</v>
      </c>
      <c r="Q104" s="24">
        <f ca="1">OFFSET(PTRA!U$213,$E104,0)</f>
        <v>0.69430468678312451</v>
      </c>
      <c r="R104" s="24">
        <f ca="1">OFFSET(PTRA!V$213,$E104,0)</f>
        <v>0.70189148361425302</v>
      </c>
      <c r="S104" s="24">
        <f ca="1">OFFSET(PTRA!W$213,$E104,0)</f>
        <v>0.70947828044538153</v>
      </c>
      <c r="T104" s="236">
        <f ca="1">OFFSET(PTRA!X$213,$E104,0)</f>
        <v>0.71706507727651003</v>
      </c>
      <c r="U104" s="24">
        <f ca="1">OFFSET(PTRA!Y$213,$E104,0)</f>
        <v>0.72465187410763854</v>
      </c>
      <c r="V104" s="24">
        <f ca="1">OFFSET(PTRA!Z$213,$E104,0)</f>
        <v>0.73223867093876704</v>
      </c>
      <c r="W104" s="24">
        <f ca="1">OFFSET(PTRA!AA$213,$E104,0)</f>
        <v>0.73982546776989555</v>
      </c>
      <c r="X104" s="24">
        <f ca="1">OFFSET(PTRA!AB$213,$E104,0)</f>
        <v>0.69430468678312451</v>
      </c>
      <c r="Y104" s="248">
        <f ca="1">OFFSET(PTRA!AC$213,$E104,0)</f>
        <v>0.71587654160202607</v>
      </c>
      <c r="Z104" s="24">
        <f ca="1">OFFSET(PTRA!AD$213,$E104,0)</f>
        <v>0.73744839642092763</v>
      </c>
      <c r="AA104" s="24">
        <f ca="1">OFFSET(PTRA!AE$213,$E104,0)</f>
        <v>0.75902025123982919</v>
      </c>
      <c r="AB104" s="24">
        <f ca="1">OFFSET(PTRA!AF$213,$E104,0)</f>
        <v>0.78059210605873075</v>
      </c>
      <c r="AC104" s="24">
        <f ca="1">OFFSET(PTRA!AG$213,$E104,0)</f>
        <v>0.80216396087763231</v>
      </c>
      <c r="AD104" s="24">
        <f ca="1">OFFSET(PTRA!AH$213,$E104,0)</f>
        <v>0.82373581569653387</v>
      </c>
      <c r="AE104" s="24">
        <f ca="1">OFFSET(PTRA!AI$213,$E104,0)</f>
        <v>0.84530767051543543</v>
      </c>
      <c r="AF104" s="24">
        <f ca="1">OFFSET(PTRA!AJ$213,$E104,0)</f>
        <v>0.86687952533433699</v>
      </c>
      <c r="AG104" s="24">
        <f ca="1">OFFSET(PTRA!AK$213,$E104,0)</f>
        <v>0.88845138015323855</v>
      </c>
      <c r="AH104" s="24">
        <f ca="1">OFFSET(PTRA!AL$213,$E104,0)</f>
        <v>0.9100232349721401</v>
      </c>
      <c r="AI104" s="24">
        <f ca="1">OFFSET(PTRA!AM$213,$E104,0)</f>
        <v>0.85532990423306221</v>
      </c>
      <c r="AJ104" s="24">
        <f ca="1">OFFSET(PTRA!AN$213,$E104,0)</f>
        <v>0.8006365734939842</v>
      </c>
      <c r="AK104" s="24">
        <f ca="1">OFFSET(PTRA!AO$213,$E104,0)</f>
        <v>0.8006365734939842</v>
      </c>
      <c r="AL104" s="24">
        <f ca="1">OFFSET(PTRA!AP$213,$E104,0)</f>
        <v>0.8006365734939842</v>
      </c>
      <c r="AM104" s="24">
        <f ca="1">OFFSET(PTRA!AQ$213,$E104,0)</f>
        <v>0</v>
      </c>
    </row>
    <row r="105" spans="1:39">
      <c r="A105" s="36" t="s">
        <v>134</v>
      </c>
      <c r="B105" t="s">
        <v>398</v>
      </c>
      <c r="E105" s="154">
        <f>MATCH(F105,PTRA!$D$214:$D$221,0)</f>
        <v>8</v>
      </c>
      <c r="F105" s="4" t="str">
        <f t="shared" si="1"/>
        <v>TPPUGAT</v>
      </c>
      <c r="G105" s="24">
        <f ca="1">OFFSET(PTRA!K$213,$E105,0)</f>
        <v>0.63281099662838625</v>
      </c>
      <c r="H105" s="24">
        <f ca="1">OFFSET(PTRA!L$213,$E105,0)</f>
        <v>0.64590377975103752</v>
      </c>
      <c r="I105" s="24">
        <f ca="1">OFFSET(PTRA!M$213,$E105,0)</f>
        <v>0.65899656287368868</v>
      </c>
      <c r="J105" s="24">
        <f ca="1">OFFSET(PTRA!N$213,$E105,0)</f>
        <v>0.67325785334021937</v>
      </c>
      <c r="K105" s="24">
        <f ca="1">OFFSET(PTRA!O$213,$E105,0)</f>
        <v>0.68751914380675005</v>
      </c>
      <c r="L105" s="24">
        <f ca="1">OFFSET(PTRA!P$213,$E105,0)</f>
        <v>0.70178043427328074</v>
      </c>
      <c r="M105" s="24">
        <f ca="1">OFFSET(PTRA!Q$213,$E105,0)</f>
        <v>0.71604172473981142</v>
      </c>
      <c r="N105" s="24">
        <f ca="1">OFFSET(PTRA!R$213,$E105,0)</f>
        <v>0.68751914380675005</v>
      </c>
      <c r="O105" s="236">
        <f ca="1">OFFSET(PTRA!S$213,$E105,0)</f>
        <v>0.70215548856734533</v>
      </c>
      <c r="P105" s="24">
        <f ca="1">OFFSET(PTRA!T$213,$E105,0)</f>
        <v>0.71679183332794061</v>
      </c>
      <c r="Q105" s="24">
        <f ca="1">OFFSET(PTRA!U$213,$E105,0)</f>
        <v>0.73142817808853589</v>
      </c>
      <c r="R105" s="24">
        <f ca="1">OFFSET(PTRA!V$213,$E105,0)</f>
        <v>0.74606452284913116</v>
      </c>
      <c r="S105" s="24">
        <f ca="1">OFFSET(PTRA!W$213,$E105,0)</f>
        <v>0.76070086760972644</v>
      </c>
      <c r="T105" s="236">
        <f ca="1">OFFSET(PTRA!X$213,$E105,0)</f>
        <v>0.77533721237032172</v>
      </c>
      <c r="U105" s="24">
        <f ca="1">OFFSET(PTRA!Y$213,$E105,0)</f>
        <v>0.78997355713091699</v>
      </c>
      <c r="V105" s="24">
        <f ca="1">OFFSET(PTRA!Z$213,$E105,0)</f>
        <v>0.80460990189151227</v>
      </c>
      <c r="W105" s="24">
        <f ca="1">OFFSET(PTRA!AA$213,$E105,0)</f>
        <v>0.81924624665210755</v>
      </c>
      <c r="X105" s="24">
        <f ca="1">OFFSET(PTRA!AB$213,$E105,0)</f>
        <v>0.73142817808853577</v>
      </c>
      <c r="Y105" s="248">
        <f ca="1">OFFSET(PTRA!AC$213,$E105,0)</f>
        <v>0.7466295991843398</v>
      </c>
      <c r="Z105" s="24">
        <f ca="1">OFFSET(PTRA!AD$213,$E105,0)</f>
        <v>0.76183102028014382</v>
      </c>
      <c r="AA105" s="24">
        <f ca="1">OFFSET(PTRA!AE$213,$E105,0)</f>
        <v>0.77703244137594785</v>
      </c>
      <c r="AB105" s="24">
        <f ca="1">OFFSET(PTRA!AF$213,$E105,0)</f>
        <v>0.79223386247175187</v>
      </c>
      <c r="AC105" s="24">
        <f ca="1">OFFSET(PTRA!AG$213,$E105,0)</f>
        <v>0.80743528356755589</v>
      </c>
      <c r="AD105" s="24">
        <f ca="1">OFFSET(PTRA!AH$213,$E105,0)</f>
        <v>0.82263670466335992</v>
      </c>
      <c r="AE105" s="24">
        <f ca="1">OFFSET(PTRA!AI$213,$E105,0)</f>
        <v>0.83783812575916394</v>
      </c>
      <c r="AF105" s="24">
        <f ca="1">OFFSET(PTRA!AJ$213,$E105,0)</f>
        <v>0.85303954685496797</v>
      </c>
      <c r="AG105" s="24">
        <f ca="1">OFFSET(PTRA!AK$213,$E105,0)</f>
        <v>0.86824096795077199</v>
      </c>
      <c r="AH105" s="24">
        <f ca="1">OFFSET(PTRA!AL$213,$E105,0)</f>
        <v>0.88344238904657568</v>
      </c>
      <c r="AI105" s="24">
        <f ca="1">OFFSET(PTRA!AM$213,$E105,0)</f>
        <v>0.96854265888849567</v>
      </c>
      <c r="AJ105" s="24">
        <f ca="1">OFFSET(PTRA!AN$213,$E105,0)</f>
        <v>1.0536429287304157</v>
      </c>
      <c r="AK105" s="24">
        <f ca="1">OFFSET(PTRA!AO$213,$E105,0)</f>
        <v>1.0536429287304157</v>
      </c>
      <c r="AL105" s="24">
        <f ca="1">OFFSET(PTRA!AP$213,$E105,0)</f>
        <v>1.0536429287304157</v>
      </c>
      <c r="AM105" s="24">
        <f ca="1">OFFSET(PTRA!AQ$213,$E105,0)</f>
        <v>0</v>
      </c>
    </row>
    <row r="106" spans="1:39">
      <c r="A106" s="36" t="s">
        <v>131</v>
      </c>
      <c r="B106">
        <v>8.3842691666009994</v>
      </c>
      <c r="E106" s="154">
        <f>MATCH(F106,PTRA!$D$214:$D$221,0)</f>
        <v>5</v>
      </c>
      <c r="F106" s="4" t="str">
        <f t="shared" si="1"/>
        <v>TPPUMBT</v>
      </c>
      <c r="G106" s="24">
        <f ca="1">OFFSET(PTRA!K$213,$E106,0)</f>
        <v>6.8173364530273304</v>
      </c>
      <c r="H106" s="24">
        <f ca="1">OFFSET(PTRA!L$213,$E106,0)</f>
        <v>6.8586682265136654</v>
      </c>
      <c r="I106" s="24">
        <f ca="1">OFFSET(PTRA!M$213,$E106,0)</f>
        <v>6.9</v>
      </c>
      <c r="J106" s="24">
        <f ca="1">OFFSET(PTRA!N$213,$E106,0)</f>
        <v>7.0212765000000008</v>
      </c>
      <c r="K106" s="24">
        <f ca="1">OFFSET(PTRA!O$213,$E106,0)</f>
        <v>7.1425530000000013</v>
      </c>
      <c r="L106" s="24">
        <f ca="1">OFFSET(PTRA!P$213,$E106,0)</f>
        <v>7.2638295000000017</v>
      </c>
      <c r="M106" s="24">
        <f ca="1">OFFSET(PTRA!Q$213,$E106,0)</f>
        <v>7.3851060000000022</v>
      </c>
      <c r="N106" s="24">
        <f ca="1">OFFSET(PTRA!R$213,$E106,0)</f>
        <v>7.1425530000000004</v>
      </c>
      <c r="O106" s="236">
        <f ca="1">OFFSET(PTRA!S$213,$E106,0)</f>
        <v>7.1951213423939748</v>
      </c>
      <c r="P106" s="24">
        <f ca="1">OFFSET(PTRA!T$213,$E106,0)</f>
        <v>7.2476896847879493</v>
      </c>
      <c r="Q106" s="24">
        <f ca="1">OFFSET(PTRA!U$213,$E106,0)</f>
        <v>7.3002580271819237</v>
      </c>
      <c r="R106" s="24">
        <f ca="1">OFFSET(PTRA!V$213,$E106,0)</f>
        <v>7.3528263695758982</v>
      </c>
      <c r="S106" s="24">
        <f ca="1">OFFSET(PTRA!W$213,$E106,0)</f>
        <v>7.4053947119698726</v>
      </c>
      <c r="T106" s="236">
        <f ca="1">OFFSET(PTRA!X$213,$E106,0)</f>
        <v>7.4579630543638471</v>
      </c>
      <c r="U106" s="24">
        <f ca="1">OFFSET(PTRA!Y$213,$E106,0)</f>
        <v>7.5105313967578216</v>
      </c>
      <c r="V106" s="24">
        <f ca="1">OFFSET(PTRA!Z$213,$E106,0)</f>
        <v>7.563099739151796</v>
      </c>
      <c r="W106" s="24">
        <f ca="1">OFFSET(PTRA!AA$213,$E106,0)</f>
        <v>7.6156680815457705</v>
      </c>
      <c r="X106" s="24">
        <f ca="1">OFFSET(PTRA!AB$213,$E106,0)</f>
        <v>7.3002580271819228</v>
      </c>
      <c r="Y106" s="248">
        <f ca="1">OFFSET(PTRA!AC$213,$E106,0)</f>
        <v>7.3229739180353288</v>
      </c>
      <c r="Z106" s="24">
        <f ca="1">OFFSET(PTRA!AD$213,$E106,0)</f>
        <v>7.3456898088887348</v>
      </c>
      <c r="AA106" s="24">
        <f ca="1">OFFSET(PTRA!AE$213,$E106,0)</f>
        <v>7.3684056997421408</v>
      </c>
      <c r="AB106" s="24">
        <f ca="1">OFFSET(PTRA!AF$213,$E106,0)</f>
        <v>7.3911215905955467</v>
      </c>
      <c r="AC106" s="24">
        <f ca="1">OFFSET(PTRA!AG$213,$E106,0)</f>
        <v>7.4138374814489527</v>
      </c>
      <c r="AD106" s="24">
        <f ca="1">OFFSET(PTRA!AH$213,$E106,0)</f>
        <v>7.4365533723023587</v>
      </c>
      <c r="AE106" s="24">
        <f ca="1">OFFSET(PTRA!AI$213,$E106,0)</f>
        <v>7.4592692631557647</v>
      </c>
      <c r="AF106" s="24">
        <f ca="1">OFFSET(PTRA!AJ$213,$E106,0)</f>
        <v>7.4819851540091706</v>
      </c>
      <c r="AG106" s="24">
        <f ca="1">OFFSET(PTRA!AK$213,$E106,0)</f>
        <v>7.5047010448625766</v>
      </c>
      <c r="AH106" s="24">
        <f ca="1">OFFSET(PTRA!AL$213,$E106,0)</f>
        <v>7.5274169357159861</v>
      </c>
      <c r="AI106" s="24">
        <f ca="1">OFFSET(PTRA!AM$213,$E106,0)</f>
        <v>7.545751554092571</v>
      </c>
      <c r="AJ106" s="24">
        <f ca="1">OFFSET(PTRA!AN$213,$E106,0)</f>
        <v>7.5640861724691559</v>
      </c>
      <c r="AK106" s="24">
        <f ca="1">OFFSET(PTRA!AO$213,$E106,0)</f>
        <v>7.5640861724691559</v>
      </c>
      <c r="AL106" s="24">
        <f ca="1">OFFSET(PTRA!AP$213,$E106,0)</f>
        <v>7.5640861724691559</v>
      </c>
      <c r="AM106" s="24">
        <f ca="1">OFFSET(PTRA!AQ$213,$E106,0)</f>
        <v>0</v>
      </c>
    </row>
    <row r="107" spans="1:39">
      <c r="A107" s="36" t="s">
        <v>133</v>
      </c>
      <c r="B107">
        <v>13.9</v>
      </c>
      <c r="E107" s="155">
        <f>MATCH(F107,PTRA!$D$214:$D$221,0)</f>
        <v>7</v>
      </c>
      <c r="F107" s="4" t="str">
        <f t="shared" si="1"/>
        <v>TPPUMER</v>
      </c>
      <c r="G107" s="24">
        <f ca="1">OFFSET(PTRA!K$213,$E107,0)</f>
        <v>16.86316604698926</v>
      </c>
      <c r="H107" s="24">
        <f ca="1">OFFSET(PTRA!L$213,$E107,0)</f>
        <v>17.250013690163964</v>
      </c>
      <c r="I107" s="24">
        <f ca="1">OFFSET(PTRA!M$213,$E107,0)</f>
        <v>17.636861333338672</v>
      </c>
      <c r="J107" s="24">
        <f ca="1">OFFSET(PTRA!N$213,$E107,0)</f>
        <v>17.730412645510775</v>
      </c>
      <c r="K107" s="24">
        <f ca="1">OFFSET(PTRA!O$213,$E107,0)</f>
        <v>17.823963957682878</v>
      </c>
      <c r="L107" s="24">
        <f ca="1">OFFSET(PTRA!P$213,$E107,0)</f>
        <v>17.917515269854981</v>
      </c>
      <c r="M107" s="24">
        <f ca="1">OFFSET(PTRA!Q$213,$E107,0)</f>
        <v>18.011066582027084</v>
      </c>
      <c r="N107" s="24">
        <f ca="1">OFFSET(PTRA!R$213,$E107,0)</f>
        <v>17.823963957682881</v>
      </c>
      <c r="O107" s="236">
        <f ca="1">OFFSET(PTRA!S$213,$E107,0)</f>
        <v>17.799668052611267</v>
      </c>
      <c r="P107" s="24">
        <f ca="1">OFFSET(PTRA!T$213,$E107,0)</f>
        <v>17.775372147539652</v>
      </c>
      <c r="Q107" s="24">
        <f ca="1">OFFSET(PTRA!U$213,$E107,0)</f>
        <v>17.751076242468038</v>
      </c>
      <c r="R107" s="24">
        <f ca="1">OFFSET(PTRA!V$213,$E107,0)</f>
        <v>17.726780337396423</v>
      </c>
      <c r="S107" s="24">
        <f ca="1">OFFSET(PTRA!W$213,$E107,0)</f>
        <v>17.702484432324809</v>
      </c>
      <c r="T107" s="236">
        <f ca="1">OFFSET(PTRA!X$213,$E107,0)</f>
        <v>17.678188527253194</v>
      </c>
      <c r="U107" s="24">
        <f ca="1">OFFSET(PTRA!Y$213,$E107,0)</f>
        <v>17.65389262218158</v>
      </c>
      <c r="V107" s="24">
        <f ca="1">OFFSET(PTRA!Z$213,$E107,0)</f>
        <v>17.629596717109965</v>
      </c>
      <c r="W107" s="24">
        <f ca="1">OFFSET(PTRA!AA$213,$E107,0)</f>
        <v>17.605300812038351</v>
      </c>
      <c r="X107" s="24">
        <f ca="1">OFFSET(PTRA!AB$213,$E107,0)</f>
        <v>17.751076242468041</v>
      </c>
      <c r="Y107" s="248">
        <f ca="1">OFFSET(PTRA!AC$213,$E107,0)</f>
        <v>17.321026044471083</v>
      </c>
      <c r="Z107" s="24">
        <f ca="1">OFFSET(PTRA!AD$213,$E107,0)</f>
        <v>16.890975846474124</v>
      </c>
      <c r="AA107" s="24">
        <f ca="1">OFFSET(PTRA!AE$213,$E107,0)</f>
        <v>16.460925648477165</v>
      </c>
      <c r="AB107" s="24">
        <f ca="1">OFFSET(PTRA!AF$213,$E107,0)</f>
        <v>16.030875450480206</v>
      </c>
      <c r="AC107" s="24">
        <f ca="1">OFFSET(PTRA!AG$213,$E107,0)</f>
        <v>15.600825252483247</v>
      </c>
      <c r="AD107" s="24">
        <f ca="1">OFFSET(PTRA!AH$213,$E107,0)</f>
        <v>15.170775054486288</v>
      </c>
      <c r="AE107" s="24">
        <f ca="1">OFFSET(PTRA!AI$213,$E107,0)</f>
        <v>14.740724856489329</v>
      </c>
      <c r="AF107" s="24">
        <f ca="1">OFFSET(PTRA!AJ$213,$E107,0)</f>
        <v>14.310674658492371</v>
      </c>
      <c r="AG107" s="24">
        <f ca="1">OFFSET(PTRA!AK$213,$E107,0)</f>
        <v>13.880624460495412</v>
      </c>
      <c r="AH107" s="24">
        <f ca="1">OFFSET(PTRA!AL$213,$E107,0)</f>
        <v>13.450574262498447</v>
      </c>
      <c r="AI107" s="24">
        <f ca="1">OFFSET(PTRA!AM$213,$E107,0)</f>
        <v>14.906083112306032</v>
      </c>
      <c r="AJ107" s="24">
        <f ca="1">OFFSET(PTRA!AN$213,$E107,0)</f>
        <v>16.361591962113614</v>
      </c>
      <c r="AK107" s="24">
        <f ca="1">OFFSET(PTRA!AO$213,$E107,0)</f>
        <v>16.361591962113614</v>
      </c>
      <c r="AL107" s="24">
        <f ca="1">OFFSET(PTRA!AP$213,$E107,0)</f>
        <v>16.361591962113614</v>
      </c>
      <c r="AM107" s="24">
        <f ca="1">OFFSET(PTRA!AQ$213,$E107,0)</f>
        <v>0</v>
      </c>
    </row>
    <row r="108" spans="1:39">
      <c r="A108" s="36" t="s">
        <v>159</v>
      </c>
      <c r="B108">
        <v>0.1024485696</v>
      </c>
      <c r="E108" s="156">
        <f>MATCH(F108,OtherTRA!$D$47:$D$51,0)</f>
        <v>5</v>
      </c>
      <c r="F108" s="4" t="str">
        <f t="shared" si="1"/>
        <v>TSHFO</v>
      </c>
      <c r="G108" s="24">
        <f ca="1">OFFSET(OtherTRA!J$46,$E108,0)</f>
        <v>2.1423460006713867E-2</v>
      </c>
      <c r="H108" s="24">
        <f ca="1">OFFSET(OtherTRA!K$46,$E108,0)</f>
        <v>2.0907721487179648E-2</v>
      </c>
      <c r="I108" s="24">
        <f ca="1">OFFSET(OtherTRA!L$46,$E108,0)</f>
        <v>2.0391982967645429E-2</v>
      </c>
      <c r="J108" s="24">
        <f ca="1">OFFSET(OtherTRA!M$46,$E108,0)</f>
        <v>1.9876244448111209E-2</v>
      </c>
      <c r="K108" s="24">
        <f ca="1">OFFSET(OtherTRA!N$46,$E108,0)</f>
        <v>1.9362966026969561E-2</v>
      </c>
      <c r="L108" s="24">
        <f ca="1">OFFSET(OtherTRA!O$46,$E108,0)</f>
        <v>1.8849687605827913E-2</v>
      </c>
      <c r="M108" s="24">
        <f ca="1">OFFSET(OtherTRA!P$46,$E108,0)</f>
        <v>1.8336409184686264E-2</v>
      </c>
      <c r="N108" s="24">
        <f ca="1">OFFSET(OtherTRA!Q$46,$E108,0)</f>
        <v>1.7823130763544616E-2</v>
      </c>
      <c r="O108" s="24">
        <f ca="1">OFFSET(OtherTRA!R$46,$E108,0)</f>
        <v>1.8849687605827913E-2</v>
      </c>
      <c r="P108" s="24">
        <f ca="1">OFFSET(OtherTRA!S$46,$E108,0)</f>
        <v>1.8336409184686268E-2</v>
      </c>
      <c r="Q108" s="24">
        <f ca="1">OFFSET(OtherTRA!T$46,$E108,0)</f>
        <v>1.7823130763544623E-2</v>
      </c>
      <c r="R108" s="24">
        <f ca="1">OFFSET(OtherTRA!U$46,$E108,0)</f>
        <v>1.7309852342402978E-2</v>
      </c>
      <c r="S108" s="24">
        <f ca="1">OFFSET(OtherTRA!V$46,$E108,0)</f>
        <v>1.6796573921261333E-2</v>
      </c>
      <c r="T108" s="24">
        <f ca="1">OFFSET(OtherTRA!W$46,$E108,0)</f>
        <v>1.6283295500119688E-2</v>
      </c>
      <c r="U108" s="24">
        <f ca="1">OFFSET(OtherTRA!X$46,$E108,0)</f>
        <v>1.5770017078978044E-2</v>
      </c>
      <c r="V108" s="24">
        <f ca="1">OFFSET(OtherTRA!Y$46,$E108,0)</f>
        <v>1.5256738657836397E-2</v>
      </c>
      <c r="W108" s="24">
        <f ca="1">OFFSET(OtherTRA!Z$46,$E108,0)</f>
        <v>1.4743460236694751E-2</v>
      </c>
      <c r="X108" s="24">
        <f ca="1">OFFSET(OtherTRA!AA$46,$E108,0)</f>
        <v>1.4230181815553104E-2</v>
      </c>
      <c r="Y108" s="24">
        <f ca="1">OFFSET(OtherTRA!AB$46,$E108,0)</f>
        <v>1.7309852342402975E-2</v>
      </c>
      <c r="Z108" s="24">
        <f ca="1">OFFSET(OtherTRA!AC$46,$E108,0)</f>
        <v>1.7706102087294354E-2</v>
      </c>
      <c r="AA108" s="24">
        <f ca="1">OFFSET(OtherTRA!AD$46,$E108,0)</f>
        <v>1.8102351832185733E-2</v>
      </c>
      <c r="AB108" s="24">
        <f ca="1">OFFSET(OtherTRA!AE$46,$E108,0)</f>
        <v>1.8498601577077112E-2</v>
      </c>
      <c r="AC108" s="24">
        <f ca="1">OFFSET(OtherTRA!AF$46,$E108,0)</f>
        <v>1.8894851321968491E-2</v>
      </c>
      <c r="AD108" s="24">
        <f ca="1">OFFSET(OtherTRA!AG$46,$E108,0)</f>
        <v>1.929110106685987E-2</v>
      </c>
      <c r="AE108" s="24">
        <f ca="1">OFFSET(OtherTRA!AH$46,$E108,0)</f>
        <v>1.9687350811751249E-2</v>
      </c>
      <c r="AF108" s="24">
        <f ca="1">OFFSET(OtherTRA!AI$46,$E108,0)</f>
        <v>2.0083600556642628E-2</v>
      </c>
      <c r="AG108" s="24">
        <f ca="1">OFFSET(OtherTRA!AJ$46,$E108,0)</f>
        <v>2.0479850301534007E-2</v>
      </c>
      <c r="AH108" s="24">
        <f ca="1">OFFSET(OtherTRA!AK$46,$E108,0)</f>
        <v>2.0876100046425386E-2</v>
      </c>
      <c r="AI108" s="24">
        <f ca="1">OFFSET(OtherTRA!AL$46,$E108,0)</f>
        <v>2.1272349791316751E-2</v>
      </c>
      <c r="AJ108" s="24">
        <f ca="1">OFFSET(OtherTRA!AM$46,$E108,0)</f>
        <v>2.4376362213988131E-2</v>
      </c>
      <c r="AK108" s="24">
        <f ca="1">OFFSET(OtherTRA!AN$46,$E108,0)</f>
        <v>2.7480374636659508E-2</v>
      </c>
      <c r="AL108" s="24">
        <f ca="1">OFFSET(OtherTRA!AO$46,$E108,0)</f>
        <v>2.7480374636659508E-2</v>
      </c>
      <c r="AM108" s="24">
        <f ca="1">OFFSET(OtherTRA!AP$46,$E108,0)</f>
        <v>2.7480374636659508E-2</v>
      </c>
    </row>
    <row r="109" spans="1:39">
      <c r="A109" s="36" t="s">
        <v>240</v>
      </c>
      <c r="B109">
        <v>82.184767358499997</v>
      </c>
      <c r="E109" s="153">
        <f>MATCH(F109,COM!$D$248:$D$266,0)</f>
        <v>1</v>
      </c>
      <c r="F109" s="4" t="str">
        <f t="shared" si="1"/>
        <v>CEC</v>
      </c>
      <c r="G109" s="24">
        <f ca="1">OFFSET(COM!J$247,$E109,0)</f>
        <v>139.66439435388435</v>
      </c>
      <c r="H109" s="24">
        <f ca="1">OFFSET(COM!K$247,$E109,0)</f>
        <v>135.82261238822764</v>
      </c>
      <c r="I109" s="24">
        <f ca="1">OFFSET(COM!L$247,$E109,0)</f>
        <v>132.27898173779028</v>
      </c>
      <c r="J109" s="24">
        <f ca="1">OFFSET(COM!M$247,$E109,0)</f>
        <v>128.4309735004</v>
      </c>
      <c r="K109" s="24">
        <f ca="1">OFFSET(COM!N$247,$E109,0)</f>
        <v>124.42166984714328</v>
      </c>
      <c r="L109" s="24">
        <f ca="1">OFFSET(COM!O$247,$E109,0)</f>
        <v>120.28334032399778</v>
      </c>
      <c r="M109" s="24">
        <f ca="1">OFFSET(COM!P$247,$E109,0)</f>
        <v>119.45331139721114</v>
      </c>
      <c r="N109" s="24">
        <f ca="1">OFFSET(COM!Q$247,$E109,0)</f>
        <v>118.62238037082571</v>
      </c>
      <c r="O109" s="236">
        <f ca="1">OFFSET(COM!R$247,$E109,0)</f>
        <v>117.79056424250548</v>
      </c>
      <c r="P109" s="24">
        <f ca="1">OFFSET(COM!S$247,$E109,0)</f>
        <v>116.95787949020449</v>
      </c>
      <c r="Q109" s="24">
        <f ca="1">OFFSET(COM!T$247,$E109,0)</f>
        <v>116.12434209401066</v>
      </c>
      <c r="R109" s="24">
        <f ca="1">OFFSET(COM!U$247,$E109,0)</f>
        <v>115.33638550809118</v>
      </c>
      <c r="S109" s="24">
        <f ca="1">OFFSET(COM!V$247,$E109,0)</f>
        <v>114.54690815134335</v>
      </c>
      <c r="T109" s="236">
        <f ca="1">OFFSET(COM!W$247,$E109,0)</f>
        <v>113.75594654766866</v>
      </c>
      <c r="U109" s="24">
        <f ca="1">OFFSET(COM!X$247,$E109,0)</f>
        <v>112.96353580222537</v>
      </c>
      <c r="V109" s="24">
        <f ca="1">OFFSET(COM!Y$247,$E109,0)</f>
        <v>112.16970967694517</v>
      </c>
      <c r="W109" s="24">
        <f ca="1">OFFSET(COM!Z$247,$E109,0)</f>
        <v>111.43431625001973</v>
      </c>
      <c r="X109" s="24">
        <f ca="1">OFFSET(COM!AA$247,$E109,0)</f>
        <v>110.69644294081627</v>
      </c>
      <c r="Y109" s="248">
        <f ca="1">OFFSET(COM!AB$247,$E109,0)</f>
        <v>109.956164078649</v>
      </c>
      <c r="Z109" s="24">
        <f ca="1">OFFSET(COM!AC$247,$E109,0)</f>
        <v>109.21355040304071</v>
      </c>
      <c r="AA109" s="24">
        <f ca="1">OFFSET(COM!AD$247,$E109,0)</f>
        <v>108.46866930043083</v>
      </c>
      <c r="AB109" s="24">
        <f ca="1">OFFSET(COM!AE$247,$E109,0)</f>
        <v>107.75372498325228</v>
      </c>
      <c r="AC109" s="24">
        <f ca="1">OFFSET(COM!AF$247,$E109,0)</f>
        <v>107.03595873191672</v>
      </c>
      <c r="AD109" s="24">
        <f ca="1">OFFSET(COM!AG$247,$E109,0)</f>
        <v>106.31545876199012</v>
      </c>
      <c r="AE109" s="24">
        <f ca="1">OFFSET(COM!AH$247,$E109,0)</f>
        <v>105.59230884915766</v>
      </c>
      <c r="AF109" s="24">
        <f ca="1">OFFSET(COM!AI$247,$E109,0)</f>
        <v>104.86658863407885</v>
      </c>
      <c r="AG109" s="24">
        <f ca="1">OFFSET(COM!AJ$247,$E109,0)</f>
        <v>104.17035995347956</v>
      </c>
      <c r="AH109" s="24">
        <f ca="1">OFFSET(COM!AK$247,$E109,0)</f>
        <v>103.47100954298662</v>
      </c>
      <c r="AI109" s="24">
        <f ca="1">OFFSET(COM!AL$247,$E109,0)</f>
        <v>102.76863770564513</v>
      </c>
      <c r="AJ109" s="24">
        <f ca="1">OFFSET(COM!AM$247,$E109,0)</f>
        <v>99.240647189392661</v>
      </c>
      <c r="AK109" s="24">
        <f ca="1">OFFSET(COM!AN$247,$E109,0)</f>
        <v>95.669893752583945</v>
      </c>
      <c r="AL109" s="24">
        <f ca="1">OFFSET(COM!AO$247,$E109,0)</f>
        <v>95.669893752583945</v>
      </c>
      <c r="AM109" s="24">
        <f ca="1">OFFSET(COM!AP$247,$E109,0)</f>
        <v>95.669893752583945</v>
      </c>
    </row>
    <row r="110" spans="1:39">
      <c r="A110" s="36" t="s">
        <v>246</v>
      </c>
      <c r="B110">
        <v>9.1664843454099998</v>
      </c>
      <c r="E110" s="153">
        <f>MATCH(F110,COM!$D$248:$D$266,0)</f>
        <v>7</v>
      </c>
      <c r="F110" s="4" t="str">
        <f t="shared" si="1"/>
        <v>CEG</v>
      </c>
      <c r="G110" s="24">
        <f ca="1">OFFSET(COM!J$247,$E110,0)</f>
        <v>10.30055287377321</v>
      </c>
      <c r="H110" s="24">
        <f ca="1">OFFSET(COM!K$247,$E110,0)</f>
        <v>10.017213097376901</v>
      </c>
      <c r="I110" s="24">
        <f ca="1">OFFSET(COM!L$247,$E110,0)</f>
        <v>9.7558626290000774</v>
      </c>
      <c r="J110" s="24">
        <f ca="1">OFFSET(COM!M$247,$E110,0)</f>
        <v>9.4720636515203847</v>
      </c>
      <c r="K110" s="24">
        <f ca="1">OFFSET(COM!N$247,$E110,0)</f>
        <v>9.1763687862797756</v>
      </c>
      <c r="L110" s="24">
        <f ca="1">OFFSET(COM!O$247,$E110,0)</f>
        <v>8.8711579824850144</v>
      </c>
      <c r="M110" s="24">
        <f ca="1">OFFSET(COM!P$247,$E110,0)</f>
        <v>8.9199221078695032</v>
      </c>
      <c r="N110" s="24">
        <f ca="1">OFFSET(COM!Q$247,$E110,0)</f>
        <v>8.9683535742159428</v>
      </c>
      <c r="O110" s="236">
        <f ca="1">OFFSET(COM!R$247,$E110,0)</f>
        <v>9.0164586495978138</v>
      </c>
      <c r="P110" s="24">
        <f ca="1">OFFSET(COM!S$247,$E110,0)</f>
        <v>9.0642434104398664</v>
      </c>
      <c r="Q110" s="24">
        <f ca="1">OFFSET(COM!T$247,$E110,0)</f>
        <v>9.1117137495733171</v>
      </c>
      <c r="R110" s="24">
        <f ca="1">OFFSET(COM!U$247,$E110,0)</f>
        <v>9.1759925082195775</v>
      </c>
      <c r="S110" s="24">
        <f ca="1">OFFSET(COM!V$247,$E110,0)</f>
        <v>9.2397104660833946</v>
      </c>
      <c r="T110" s="236">
        <f ca="1">OFFSET(COM!W$247,$E110,0)</f>
        <v>9.3028810917506846</v>
      </c>
      <c r="U110" s="24">
        <f ca="1">OFFSET(COM!X$247,$E110,0)</f>
        <v>9.3655173306303396</v>
      </c>
      <c r="V110" s="24">
        <f ca="1">OFFSET(COM!Y$247,$E110,0)</f>
        <v>9.427631632801873</v>
      </c>
      <c r="W110" s="24">
        <f ca="1">OFFSET(COM!Z$247,$E110,0)</f>
        <v>9.5112936279893798</v>
      </c>
      <c r="X110" s="24">
        <f ca="1">OFFSET(COM!AA$247,$E110,0)</f>
        <v>9.5940411396163654</v>
      </c>
      <c r="Y110" s="248">
        <f ca="1">OFFSET(COM!AB$247,$E110,0)</f>
        <v>9.6759015774258383</v>
      </c>
      <c r="Z110" s="24">
        <f ca="1">OFFSET(COM!AC$247,$E110,0)</f>
        <v>9.7569010273861547</v>
      </c>
      <c r="AA110" s="24">
        <f ca="1">OFFSET(COM!AD$247,$E110,0)</f>
        <v>9.8370643389797188</v>
      </c>
      <c r="AB110" s="24">
        <f ca="1">OFFSET(COM!AE$247,$E110,0)</f>
        <v>9.9282671657851989</v>
      </c>
      <c r="AC110" s="24">
        <f ca="1">OFFSET(COM!AF$247,$E110,0)</f>
        <v>10.018429373679714</v>
      </c>
      <c r="AD110" s="24">
        <f ca="1">OFFSET(COM!AG$247,$E110,0)</f>
        <v>10.107583493112621</v>
      </c>
      <c r="AE110" s="24">
        <f ca="1">OFFSET(COM!AH$247,$E110,0)</f>
        <v>10.19576041727896</v>
      </c>
      <c r="AF110" s="24">
        <f ca="1">OFFSET(COM!AI$247,$E110,0)</f>
        <v>10.282989514538064</v>
      </c>
      <c r="AG110" s="24">
        <f ca="1">OFFSET(COM!AJ$247,$E110,0)</f>
        <v>10.381093935878171</v>
      </c>
      <c r="AH110" s="24">
        <f ca="1">OFFSET(COM!AK$247,$E110,0)</f>
        <v>10.478047185368929</v>
      </c>
      <c r="AI110" s="24">
        <f ca="1">OFFSET(COM!AL$247,$E110,0)</f>
        <v>10.5738862508491</v>
      </c>
      <c r="AJ110" s="24">
        <f ca="1">OFFSET(COM!AM$247,$E110,0)</f>
        <v>11.047132975040372</v>
      </c>
      <c r="AK110" s="24">
        <f ca="1">OFFSET(COM!AN$247,$E110,0)</f>
        <v>11.504610407198978</v>
      </c>
      <c r="AL110" s="24">
        <f ca="1">OFFSET(COM!AO$247,$E110,0)</f>
        <v>11.504610407198978</v>
      </c>
      <c r="AM110" s="24">
        <f ca="1">OFFSET(COM!AP$247,$E110,0)</f>
        <v>11.504610407198978</v>
      </c>
    </row>
    <row r="111" spans="1:39">
      <c r="A111" s="36" t="s">
        <v>241</v>
      </c>
      <c r="B111">
        <v>29.897246584059999</v>
      </c>
      <c r="E111" s="153">
        <f>MATCH(F111,COM!$D$248:$D$266,0)</f>
        <v>2</v>
      </c>
      <c r="F111" s="4" t="str">
        <f t="shared" si="1"/>
        <v>CEH</v>
      </c>
      <c r="G111" s="24">
        <f ca="1">OFFSET(COM!J$247,$E111,0)</f>
        <v>7.8517549075018991</v>
      </c>
      <c r="H111" s="24">
        <f ca="1">OFFSET(COM!K$247,$E111,0)</f>
        <v>8.5396147244005789</v>
      </c>
      <c r="I111" s="24">
        <f ca="1">OFFSET(COM!L$247,$E111,0)</f>
        <v>9.2656974702241772</v>
      </c>
      <c r="J111" s="24">
        <f ca="1">OFFSET(COM!M$247,$E111,0)</f>
        <v>9.992171735746485</v>
      </c>
      <c r="K111" s="24">
        <f ca="1">OFFSET(COM!N$247,$E111,0)</f>
        <v>10.72674574308062</v>
      </c>
      <c r="L111" s="24">
        <f ca="1">OFFSET(COM!O$247,$E111,0)</f>
        <v>11.470981711368381</v>
      </c>
      <c r="M111" s="24">
        <f ca="1">OFFSET(COM!P$247,$E111,0)</f>
        <v>11.391824892033055</v>
      </c>
      <c r="N111" s="24">
        <f ca="1">OFFSET(COM!Q$247,$E111,0)</f>
        <v>11.312582042762314</v>
      </c>
      <c r="O111" s="236">
        <f ca="1">OFFSET(COM!R$247,$E111,0)</f>
        <v>11.233254784561129</v>
      </c>
      <c r="P111" s="24">
        <f ca="1">OFFSET(COM!S$247,$E111,0)</f>
        <v>11.153844688871642</v>
      </c>
      <c r="Q111" s="24">
        <f ca="1">OFFSET(COM!T$247,$E111,0)</f>
        <v>11.074353279656316</v>
      </c>
      <c r="R111" s="24">
        <f ca="1">OFFSET(COM!U$247,$E111,0)</f>
        <v>10.999208745408366</v>
      </c>
      <c r="S111" s="24">
        <f ca="1">OFFSET(COM!V$247,$E111,0)</f>
        <v>10.923919180815295</v>
      </c>
      <c r="T111" s="236">
        <f ca="1">OFFSET(COM!W$247,$E111,0)</f>
        <v>10.848488069027848</v>
      </c>
      <c r="U111" s="24">
        <f ca="1">OFFSET(COM!X$247,$E111,0)</f>
        <v>10.77291875789642</v>
      </c>
      <c r="V111" s="24">
        <f ca="1">OFFSET(COM!Y$247,$E111,0)</f>
        <v>10.697214467172804</v>
      </c>
      <c r="W111" s="24">
        <f ca="1">OFFSET(COM!Z$247,$E111,0)</f>
        <v>10.627082688921554</v>
      </c>
      <c r="X111" s="24">
        <f ca="1">OFFSET(COM!AA$247,$E111,0)</f>
        <v>10.55671441337832</v>
      </c>
      <c r="Y111" s="248">
        <f ca="1">OFFSET(COM!AB$247,$E111,0)</f>
        <v>10.486116729057617</v>
      </c>
      <c r="Z111" s="24">
        <f ca="1">OFFSET(COM!AC$247,$E111,0)</f>
        <v>10.415296382128698</v>
      </c>
      <c r="AA111" s="24">
        <f ca="1">OFFSET(COM!AD$247,$E111,0)</f>
        <v>10.344259798989535</v>
      </c>
      <c r="AB111" s="24">
        <f ca="1">OFFSET(COM!AE$247,$E111,0)</f>
        <v>10.276078177453989</v>
      </c>
      <c r="AC111" s="24">
        <f ca="1">OFFSET(COM!AF$247,$E111,0)</f>
        <v>10.207627438391292</v>
      </c>
      <c r="AD111" s="24">
        <f ca="1">OFFSET(COM!AG$247,$E111,0)</f>
        <v>10.138915994596937</v>
      </c>
      <c r="AE111" s="24">
        <f ca="1">OFFSET(COM!AH$247,$E111,0)</f>
        <v>10.069951835451253</v>
      </c>
      <c r="AF111" s="24">
        <f ca="1">OFFSET(COM!AI$247,$E111,0)</f>
        <v>10.000742555992305</v>
      </c>
      <c r="AG111" s="24">
        <f ca="1">OFFSET(COM!AJ$247,$E111,0)</f>
        <v>9.9343457761841272</v>
      </c>
      <c r="AH111" s="24">
        <f ca="1">OFFSET(COM!AK$247,$E111,0)</f>
        <v>9.8676512884271883</v>
      </c>
      <c r="AI111" s="24">
        <f ca="1">OFFSET(COM!AL$247,$E111,0)</f>
        <v>9.8006686582556117</v>
      </c>
      <c r="AJ111" s="24">
        <f ca="1">OFFSET(COM!AM$247,$E111,0)</f>
        <v>9.4642171215689537</v>
      </c>
      <c r="AK111" s="24">
        <f ca="1">OFFSET(COM!AN$247,$E111,0)</f>
        <v>9.123687441738749</v>
      </c>
      <c r="AL111" s="24">
        <f ca="1">OFFSET(COM!AO$247,$E111,0)</f>
        <v>9.123687441738749</v>
      </c>
      <c r="AM111" s="24">
        <f ca="1">OFFSET(COM!AP$247,$E111,0)</f>
        <v>9.123687441738749</v>
      </c>
    </row>
    <row r="112" spans="1:39">
      <c r="A112" s="36" t="s">
        <v>242</v>
      </c>
      <c r="B112">
        <v>0.29916376652240001</v>
      </c>
      <c r="E112" s="153">
        <f>MATCH(F112,COM!$D$248:$D$266,0)</f>
        <v>3</v>
      </c>
      <c r="F112" s="4" t="str">
        <f t="shared" si="1"/>
        <v>CEK</v>
      </c>
      <c r="G112" s="24">
        <f ca="1">OFFSET(COM!J$247,$E112,0)</f>
        <v>9.8944997565297612</v>
      </c>
      <c r="H112" s="24">
        <f ca="1">OFFSET(COM!K$247,$E112,0)</f>
        <v>9.6335111281757317</v>
      </c>
      <c r="I112" s="24">
        <f ca="1">OFFSET(COM!L$247,$E112,0)</f>
        <v>9.3939104831304174</v>
      </c>
      <c r="J112" s="24">
        <f ca="1">OFFSET(COM!M$247,$E112,0)</f>
        <v>9.1329628000691123</v>
      </c>
      <c r="K112" s="24">
        <f ca="1">OFFSET(COM!N$247,$E112,0)</f>
        <v>8.8608005577734126</v>
      </c>
      <c r="L112" s="24">
        <f ca="1">OFFSET(COM!O$247,$E112,0)</f>
        <v>8.579706769854079</v>
      </c>
      <c r="M112" s="24">
        <f ca="1">OFFSET(COM!P$247,$E112,0)</f>
        <v>8.5205015234488535</v>
      </c>
      <c r="N112" s="24">
        <f ca="1">OFFSET(COM!Q$247,$E112,0)</f>
        <v>8.461231931058439</v>
      </c>
      <c r="O112" s="236">
        <f ca="1">OFFSET(COM!R$247,$E112,0)</f>
        <v>8.4018992051115262</v>
      </c>
      <c r="P112" s="24">
        <f ca="1">OFFSET(COM!S$247,$E112,0)</f>
        <v>8.3425045209663455</v>
      </c>
      <c r="Q112" s="24">
        <f ca="1">OFFSET(COM!T$247,$E112,0)</f>
        <v>8.2830490184687662</v>
      </c>
      <c r="R112" s="24">
        <f ca="1">OFFSET(COM!U$247,$E112,0)</f>
        <v>8.226844755797357</v>
      </c>
      <c r="S112" s="24">
        <f ca="1">OFFSET(COM!V$247,$E112,0)</f>
        <v>8.1705320178563348</v>
      </c>
      <c r="T112" s="236">
        <f ca="1">OFFSET(COM!W$247,$E112,0)</f>
        <v>8.1141134098640482</v>
      </c>
      <c r="U112" s="24">
        <f ca="1">OFFSET(COM!X$247,$E112,0)</f>
        <v>8.0575914358411147</v>
      </c>
      <c r="V112" s="24">
        <f ca="1">OFFSET(COM!Y$247,$E112,0)</f>
        <v>8.0009685039969565</v>
      </c>
      <c r="W112" s="24">
        <f ca="1">OFFSET(COM!Z$247,$E112,0)</f>
        <v>7.9485135260548461</v>
      </c>
      <c r="X112" s="24">
        <f ca="1">OFFSET(COM!AA$247,$E112,0)</f>
        <v>7.8958816602518596</v>
      </c>
      <c r="Y112" s="248">
        <f ca="1">OFFSET(COM!AB$247,$E112,0)</f>
        <v>7.843078208433778</v>
      </c>
      <c r="Z112" s="24">
        <f ca="1">OFFSET(COM!AC$247,$E112,0)</f>
        <v>7.7901082163896556</v>
      </c>
      <c r="AA112" s="24">
        <f ca="1">OFFSET(COM!AD$247,$E112,0)</f>
        <v>7.7369764907360121</v>
      </c>
      <c r="AB112" s="24">
        <f ca="1">OFFSET(COM!AE$247,$E112,0)</f>
        <v>7.6859801301291082</v>
      </c>
      <c r="AC112" s="24">
        <f ca="1">OFFSET(COM!AF$247,$E112,0)</f>
        <v>7.6347824833962488</v>
      </c>
      <c r="AD112" s="24">
        <f ca="1">OFFSET(COM!AG$247,$E112,0)</f>
        <v>7.583389842877553</v>
      </c>
      <c r="AE112" s="24">
        <f ca="1">OFFSET(COM!AH$247,$E112,0)</f>
        <v>7.5318081842202895</v>
      </c>
      <c r="AF112" s="24">
        <f ca="1">OFFSET(COM!AI$247,$E112,0)</f>
        <v>7.480043188123906</v>
      </c>
      <c r="AG112" s="24">
        <f ca="1">OFFSET(COM!AJ$247,$E112,0)</f>
        <v>7.4303817977084581</v>
      </c>
      <c r="AH112" s="24">
        <f ca="1">OFFSET(COM!AK$247,$E112,0)</f>
        <v>7.3804977369961087</v>
      </c>
      <c r="AI112" s="24">
        <f ca="1">OFFSET(COM!AL$247,$E112,0)</f>
        <v>7.3303981605164283</v>
      </c>
      <c r="AJ112" s="24">
        <f ca="1">OFFSET(COM!AM$247,$E112,0)</f>
        <v>7.0787496443151081</v>
      </c>
      <c r="AK112" s="24">
        <f ca="1">OFFSET(COM!AN$247,$E112,0)</f>
        <v>6.8240508859272424</v>
      </c>
      <c r="AL112" s="24">
        <f ca="1">OFFSET(COM!AO$247,$E112,0)</f>
        <v>6.8240508859272424</v>
      </c>
      <c r="AM112" s="24">
        <f ca="1">OFFSET(COM!AP$247,$E112,0)</f>
        <v>6.8240508859272424</v>
      </c>
    </row>
    <row r="113" spans="1:39">
      <c r="A113" s="36" t="s">
        <v>243</v>
      </c>
      <c r="B113">
        <v>177.48088542799999</v>
      </c>
      <c r="E113" s="153">
        <f>MATCH(F113,COM!$D$248:$D$266,0)</f>
        <v>4</v>
      </c>
      <c r="F113" s="4" t="str">
        <f t="shared" si="1"/>
        <v>CEL</v>
      </c>
      <c r="G113" s="24">
        <f ca="1">OFFSET(COM!J$247,$E113,0)</f>
        <v>121.54027190568891</v>
      </c>
      <c r="H113" s="24">
        <f ca="1">OFFSET(COM!K$247,$E113,0)</f>
        <v>118.19703451960771</v>
      </c>
      <c r="I113" s="24">
        <f ca="1">OFFSET(COM!L$247,$E113,0)</f>
        <v>115.11325762156608</v>
      </c>
      <c r="J113" s="24">
        <f ca="1">OFFSET(COM!M$247,$E113,0)</f>
        <v>111.76460194141681</v>
      </c>
      <c r="K113" s="24">
        <f ca="1">OFFSET(COM!N$247,$E113,0)</f>
        <v>108.27558200599515</v>
      </c>
      <c r="L113" s="24">
        <f ca="1">OFFSET(COM!O$247,$E113,0)</f>
        <v>104.67427977141128</v>
      </c>
      <c r="M113" s="24">
        <f ca="1">OFFSET(COM!P$247,$E113,0)</f>
        <v>103.95196294959042</v>
      </c>
      <c r="N113" s="24">
        <f ca="1">OFFSET(COM!Q$247,$E113,0)</f>
        <v>103.22886109282179</v>
      </c>
      <c r="O113" s="236">
        <f ca="1">OFFSET(COM!R$247,$E113,0)</f>
        <v>102.50498899299791</v>
      </c>
      <c r="P113" s="24">
        <f ca="1">OFFSET(COM!S$247,$E113,0)</f>
        <v>101.78036098974356</v>
      </c>
      <c r="Q113" s="24">
        <f ca="1">OFFSET(COM!T$247,$E113,0)</f>
        <v>101.05499098942505</v>
      </c>
      <c r="R113" s="24">
        <f ca="1">OFFSET(COM!U$247,$E113,0)</f>
        <v>100.36928681875526</v>
      </c>
      <c r="S113" s="24">
        <f ca="1">OFFSET(COM!V$247,$E113,0)</f>
        <v>99.682259226315409</v>
      </c>
      <c r="T113" s="236">
        <f ca="1">OFFSET(COM!W$247,$E113,0)</f>
        <v>98.99393999633331</v>
      </c>
      <c r="U113" s="24">
        <f ca="1">OFFSET(COM!X$247,$E113,0)</f>
        <v>98.304359678402491</v>
      </c>
      <c r="V113" s="24">
        <f ca="1">OFFSET(COM!Y$247,$E113,0)</f>
        <v>97.613547653199234</v>
      </c>
      <c r="W113" s="24">
        <f ca="1">OFFSET(COM!Z$247,$E113,0)</f>
        <v>96.97358556780398</v>
      </c>
      <c r="X113" s="24">
        <f ca="1">OFFSET(COM!AA$247,$E113,0)</f>
        <v>96.331465412216573</v>
      </c>
      <c r="Y113" s="248">
        <f ca="1">OFFSET(COM!AB$247,$E113,0)</f>
        <v>95.68725187010314</v>
      </c>
      <c r="Z113" s="24">
        <f ca="1">OFFSET(COM!AC$247,$E113,0)</f>
        <v>95.041006501182437</v>
      </c>
      <c r="AA113" s="24">
        <f ca="1">OFFSET(COM!AD$247,$E113,0)</f>
        <v>94.392787947216405</v>
      </c>
      <c r="AB113" s="24">
        <f ca="1">OFFSET(COM!AE$247,$E113,0)</f>
        <v>93.77062130904568</v>
      </c>
      <c r="AC113" s="24">
        <f ca="1">OFFSET(COM!AF$247,$E113,0)</f>
        <v>93.145998936567509</v>
      </c>
      <c r="AD113" s="24">
        <f ca="1">OFFSET(COM!AG$247,$E113,0)</f>
        <v>92.518997597693442</v>
      </c>
      <c r="AE113" s="24">
        <f ca="1">OFFSET(COM!AH$247,$E113,0)</f>
        <v>91.8896901966136</v>
      </c>
      <c r="AF113" s="24">
        <f ca="1">OFFSET(COM!AI$247,$E113,0)</f>
        <v>91.25814603909096</v>
      </c>
      <c r="AG113" s="24">
        <f ca="1">OFFSET(COM!AJ$247,$E113,0)</f>
        <v>90.652266326226083</v>
      </c>
      <c r="AH113" s="24">
        <f ca="1">OFFSET(COM!AK$247,$E113,0)</f>
        <v>90.043669987539403</v>
      </c>
      <c r="AI113" s="24">
        <f ca="1">OFFSET(COM!AL$247,$E113,0)</f>
        <v>89.432444309840349</v>
      </c>
      <c r="AJ113" s="24">
        <f ca="1">OFFSET(COM!AM$247,$E113,0)</f>
        <v>86.362277939881125</v>
      </c>
      <c r="AK113" s="24">
        <f ca="1">OFFSET(COM!AN$247,$E113,0)</f>
        <v>83.254897954984983</v>
      </c>
      <c r="AL113" s="24">
        <f ca="1">OFFSET(COM!AO$247,$E113,0)</f>
        <v>83.254897954984983</v>
      </c>
      <c r="AM113" s="24">
        <f ca="1">OFFSET(COM!AP$247,$E113,0)</f>
        <v>83.254897954984983</v>
      </c>
    </row>
    <row r="114" spans="1:39">
      <c r="A114" s="36" t="s">
        <v>248</v>
      </c>
      <c r="B114">
        <v>30.831061307799999</v>
      </c>
      <c r="E114" s="153">
        <f>MATCH(F114,COM!$D$248:$D$266,0)</f>
        <v>9</v>
      </c>
      <c r="F114" s="4" t="str">
        <f t="shared" si="1"/>
        <v>CEO</v>
      </c>
      <c r="G114" s="24">
        <f ca="1">OFFSET(COM!J$247,$E114,0)</f>
        <v>18.760184357078931</v>
      </c>
      <c r="H114" s="24">
        <f ca="1">OFFSET(COM!K$247,$E114,0)</f>
        <v>18.405836512295583</v>
      </c>
      <c r="I114" s="24">
        <f ca="1">OFFSET(COM!L$247,$E114,0)</f>
        <v>18.095376663240405</v>
      </c>
      <c r="J114" s="24">
        <f ca="1">OFFSET(COM!M$247,$E114,0)</f>
        <v>17.747163061802897</v>
      </c>
      <c r="K114" s="24">
        <f ca="1">OFFSET(COM!N$247,$E114,0)</f>
        <v>17.380354928482756</v>
      </c>
      <c r="L114" s="24">
        <f ca="1">OFFSET(COM!O$247,$E114,0)</f>
        <v>16.999241745794041</v>
      </c>
      <c r="M114" s="24">
        <f ca="1">OFFSET(COM!P$247,$E114,0)</f>
        <v>16.881936536739811</v>
      </c>
      <c r="N114" s="24">
        <f ca="1">OFFSET(COM!Q$247,$E114,0)</f>
        <v>16.764503836969759</v>
      </c>
      <c r="O114" s="236">
        <f ca="1">OFFSET(COM!R$247,$E114,0)</f>
        <v>16.646946048706834</v>
      </c>
      <c r="P114" s="24">
        <f ca="1">OFFSET(COM!S$247,$E114,0)</f>
        <v>16.529265500725103</v>
      </c>
      <c r="Q114" s="24">
        <f ca="1">OFFSET(COM!T$247,$E114,0)</f>
        <v>16.411464451436885</v>
      </c>
      <c r="R114" s="24">
        <f ca="1">OFFSET(COM!U$247,$E114,0)</f>
        <v>16.300105185447467</v>
      </c>
      <c r="S114" s="24">
        <f ca="1">OFFSET(COM!V$247,$E114,0)</f>
        <v>16.188530994008843</v>
      </c>
      <c r="T114" s="236">
        <f ca="1">OFFSET(COM!W$247,$E114,0)</f>
        <v>16.07674703892172</v>
      </c>
      <c r="U114" s="24">
        <f ca="1">OFFSET(COM!X$247,$E114,0)</f>
        <v>15.96475828148057</v>
      </c>
      <c r="V114" s="24">
        <f ca="1">OFFSET(COM!Y$247,$E114,0)</f>
        <v>15.852569493146159</v>
      </c>
      <c r="W114" s="24">
        <f ca="1">OFFSET(COM!Z$247,$E114,0)</f>
        <v>15.748638802421238</v>
      </c>
      <c r="X114" s="24">
        <f ca="1">OFFSET(COM!AA$247,$E114,0)</f>
        <v>15.644357638237304</v>
      </c>
      <c r="Y114" s="248">
        <f ca="1">OFFSET(COM!AB$247,$E114,0)</f>
        <v>15.539736505307463</v>
      </c>
      <c r="Z114" s="24">
        <f ca="1">OFFSET(COM!AC$247,$E114,0)</f>
        <v>15.434785401011606</v>
      </c>
      <c r="AA114" s="24">
        <f ca="1">OFFSET(COM!AD$247,$E114,0)</f>
        <v>15.329513848849592</v>
      </c>
      <c r="AB114" s="24">
        <f ca="1">OFFSET(COM!AE$247,$E114,0)</f>
        <v>15.228473162335874</v>
      </c>
      <c r="AC114" s="24">
        <f ca="1">OFFSET(COM!AF$247,$E114,0)</f>
        <v>15.127033661316371</v>
      </c>
      <c r="AD114" s="24">
        <f ca="1">OFFSET(COM!AG$247,$E114,0)</f>
        <v>15.025207813001646</v>
      </c>
      <c r="AE114" s="24">
        <f ca="1">OFFSET(COM!AH$247,$E114,0)</f>
        <v>14.923007457128787</v>
      </c>
      <c r="AF114" s="24">
        <f ca="1">OFFSET(COM!AI$247,$E114,0)</f>
        <v>14.820443849045541</v>
      </c>
      <c r="AG114" s="24">
        <f ca="1">OFFSET(COM!AJ$247,$E114,0)</f>
        <v>14.722048180784395</v>
      </c>
      <c r="AH114" s="24">
        <f ca="1">OFFSET(COM!AK$247,$E114,0)</f>
        <v>14.623211328889804</v>
      </c>
      <c r="AI114" s="24">
        <f ca="1">OFFSET(COM!AL$247,$E114,0)</f>
        <v>14.523947468855287</v>
      </c>
      <c r="AJ114" s="24">
        <f ca="1">OFFSET(COM!AM$247,$E114,0)</f>
        <v>14.025348381890293</v>
      </c>
      <c r="AK114" s="24">
        <f ca="1">OFFSET(COM!AN$247,$E114,0)</f>
        <v>13.520705754545286</v>
      </c>
      <c r="AL114" s="24">
        <f ca="1">OFFSET(COM!AO$247,$E114,0)</f>
        <v>13.520705754545286</v>
      </c>
      <c r="AM114" s="24">
        <f ca="1">OFFSET(COM!AP$247,$E114,0)</f>
        <v>13.520705754545286</v>
      </c>
    </row>
    <row r="115" spans="1:39">
      <c r="A115" s="36" t="s">
        <v>244</v>
      </c>
      <c r="B115">
        <v>7.3604096683640003</v>
      </c>
      <c r="E115" s="153">
        <f>MATCH(F115,COM!$D$248:$D$266,0)</f>
        <v>5</v>
      </c>
      <c r="F115" s="4" t="str">
        <f t="shared" si="1"/>
        <v>CER</v>
      </c>
      <c r="G115" s="24">
        <f ca="1">OFFSET(COM!J$247,$E115,0)</f>
        <v>29.566390373747055</v>
      </c>
      <c r="H115" s="24">
        <f ca="1">OFFSET(COM!K$247,$E115,0)</f>
        <v>28.753100588237238</v>
      </c>
      <c r="I115" s="24">
        <f ca="1">OFFSET(COM!L$247,$E115,0)</f>
        <v>28.002928236608874</v>
      </c>
      <c r="J115" s="24">
        <f ca="1">OFFSET(COM!M$247,$E115,0)</f>
        <v>27.188320374423199</v>
      </c>
      <c r="K115" s="24">
        <f ca="1">OFFSET(COM!N$247,$E115,0)</f>
        <v>26.339566921637534</v>
      </c>
      <c r="L115" s="24">
        <f ca="1">OFFSET(COM!O$247,$E115,0)</f>
        <v>25.463499211305457</v>
      </c>
      <c r="M115" s="24">
        <f ca="1">OFFSET(COM!P$247,$E115,0)</f>
        <v>25.287785426955427</v>
      </c>
      <c r="N115" s="24">
        <f ca="1">OFFSET(COM!Q$247,$E115,0)</f>
        <v>25.111880671749745</v>
      </c>
      <c r="O115" s="236">
        <f ca="1">OFFSET(COM!R$247,$E115,0)</f>
        <v>24.935788544025488</v>
      </c>
      <c r="P115" s="24">
        <f ca="1">OFFSET(COM!S$247,$E115,0)</f>
        <v>24.759512532099237</v>
      </c>
      <c r="Q115" s="24">
        <f ca="1">OFFSET(COM!T$247,$E115,0)</f>
        <v>24.583056018891309</v>
      </c>
      <c r="R115" s="24">
        <f ca="1">OFFSET(COM!U$247,$E115,0)</f>
        <v>24.416248779833445</v>
      </c>
      <c r="S115" s="24">
        <f ca="1">OFFSET(COM!V$247,$E115,0)</f>
        <v>24.249119599709729</v>
      </c>
      <c r="T115" s="236">
        <f ca="1">OFFSET(COM!W$247,$E115,0)</f>
        <v>24.081676210483153</v>
      </c>
      <c r="U115" s="24">
        <f ca="1">OFFSET(COM!X$247,$E115,0)</f>
        <v>23.913926043774492</v>
      </c>
      <c r="V115" s="24">
        <f ca="1">OFFSET(COM!Y$247,$E115,0)</f>
        <v>23.745876246848852</v>
      </c>
      <c r="W115" s="24">
        <f ca="1">OFFSET(COM!Z$247,$E115,0)</f>
        <v>23.590196417072963</v>
      </c>
      <c r="X115" s="24">
        <f ca="1">OFFSET(COM!AA$247,$E115,0)</f>
        <v>23.433991606196109</v>
      </c>
      <c r="Y115" s="248">
        <f ca="1">OFFSET(COM!AB$247,$E115,0)</f>
        <v>23.277277549435077</v>
      </c>
      <c r="Z115" s="24">
        <f ca="1">OFFSET(COM!AC$247,$E115,0)</f>
        <v>23.120069222062217</v>
      </c>
      <c r="AA115" s="24">
        <f ca="1">OFFSET(COM!AD$247,$E115,0)</f>
        <v>22.962380889515643</v>
      </c>
      <c r="AB115" s="24">
        <f ca="1">OFFSET(COM!AE$247,$E115,0)</f>
        <v>22.811030054000383</v>
      </c>
      <c r="AC115" s="24">
        <f ca="1">OFFSET(COM!AF$247,$E115,0)</f>
        <v>22.659081826377555</v>
      </c>
      <c r="AD115" s="24">
        <f ca="1">OFFSET(COM!AG$247,$E115,0)</f>
        <v>22.50655488152756</v>
      </c>
      <c r="AE115" s="24">
        <f ca="1">OFFSET(COM!AH$247,$E115,0)</f>
        <v>22.353466954425897</v>
      </c>
      <c r="AF115" s="24">
        <f ca="1">OFFSET(COM!AI$247,$E115,0)</f>
        <v>22.199834904679761</v>
      </c>
      <c r="AG115" s="24">
        <f ca="1">OFFSET(COM!AJ$247,$E115,0)</f>
        <v>22.052446094129813</v>
      </c>
      <c r="AH115" s="24">
        <f ca="1">OFFSET(COM!AK$247,$E115,0)</f>
        <v>21.904396425921025</v>
      </c>
      <c r="AI115" s="24">
        <f ca="1">OFFSET(COM!AL$247,$E115,0)</f>
        <v>21.755707133804485</v>
      </c>
      <c r="AJ115" s="24">
        <f ca="1">OFFSET(COM!AM$247,$E115,0)</f>
        <v>21.008845735658184</v>
      </c>
      <c r="AK115" s="24">
        <f ca="1">OFFSET(COM!AN$247,$E115,0)</f>
        <v>20.252931599277947</v>
      </c>
      <c r="AL115" s="24">
        <f ca="1">OFFSET(COM!AO$247,$E115,0)</f>
        <v>20.252931599277947</v>
      </c>
      <c r="AM115" s="24">
        <f ca="1">OFFSET(COM!AP$247,$E115,0)</f>
        <v>20.252931599277947</v>
      </c>
    </row>
    <row r="116" spans="1:39">
      <c r="A116" s="36" t="s">
        <v>247</v>
      </c>
      <c r="B116">
        <v>3.1678360284579998</v>
      </c>
      <c r="E116" s="153">
        <f>MATCH(F116,COM!$D$248:$D$266,0)</f>
        <v>8</v>
      </c>
      <c r="F116" s="4" t="str">
        <f t="shared" si="1"/>
        <v>CET</v>
      </c>
      <c r="G116" s="24">
        <f ca="1">OFFSET(COM!J$247,$E116,0)</f>
        <v>3.5593512487513528</v>
      </c>
      <c r="H116" s="24">
        <f ca="1">OFFSET(COM!K$247,$E116,0)</f>
        <v>3.4614433209638125</v>
      </c>
      <c r="I116" s="24">
        <f ca="1">OFFSET(COM!L$247,$E116,0)</f>
        <v>3.3711337883223824</v>
      </c>
      <c r="J116" s="24">
        <f ca="1">OFFSET(COM!M$247,$E116,0)</f>
        <v>3.2730671838143199</v>
      </c>
      <c r="K116" s="24">
        <f ca="1">OFFSET(COM!N$247,$E116,0)</f>
        <v>3.1708899608301726</v>
      </c>
      <c r="L116" s="24">
        <f ca="1">OFFSET(COM!O$247,$E116,0)</f>
        <v>3.0654245097100388</v>
      </c>
      <c r="M116" s="24">
        <f ca="1">OFFSET(COM!P$247,$E116,0)</f>
        <v>3.0822749305280785</v>
      </c>
      <c r="N116" s="24">
        <f ca="1">OFFSET(COM!Q$247,$E116,0)</f>
        <v>3.0990104011704336</v>
      </c>
      <c r="O116" s="236">
        <f ca="1">OFFSET(COM!R$247,$E116,0)</f>
        <v>3.1156330875669775</v>
      </c>
      <c r="P116" s="24">
        <f ca="1">OFFSET(COM!S$247,$E116,0)</f>
        <v>3.1321450894234504</v>
      </c>
      <c r="Q116" s="24">
        <f ca="1">OFFSET(COM!T$247,$E116,0)</f>
        <v>3.1485484430049366</v>
      </c>
      <c r="R116" s="24">
        <f ca="1">OFFSET(COM!U$247,$E116,0)</f>
        <v>3.1707599381216975</v>
      </c>
      <c r="S116" s="24">
        <f ca="1">OFFSET(COM!V$247,$E116,0)</f>
        <v>3.1927776487892396</v>
      </c>
      <c r="T116" s="236">
        <f ca="1">OFFSET(COM!W$247,$E116,0)</f>
        <v>3.2146062290711557</v>
      </c>
      <c r="U116" s="24">
        <f ca="1">OFFSET(COM!X$247,$E116,0)</f>
        <v>3.2362501522474587</v>
      </c>
      <c r="V116" s="24">
        <f ca="1">OFFSET(COM!Y$247,$E116,0)</f>
        <v>3.2577137204373252</v>
      </c>
      <c r="W116" s="24">
        <f ca="1">OFFSET(COM!Z$247,$E116,0)</f>
        <v>3.2866230839144919</v>
      </c>
      <c r="X116" s="24">
        <f ca="1">OFFSET(COM!AA$247,$E116,0)</f>
        <v>3.3152164480231785</v>
      </c>
      <c r="Y116" s="248">
        <f ca="1">OFFSET(COM!AB$247,$E116,0)</f>
        <v>3.3435032841873187</v>
      </c>
      <c r="Z116" s="24">
        <f ca="1">OFFSET(COM!AC$247,$E116,0)</f>
        <v>3.3714926064011288</v>
      </c>
      <c r="AA116" s="24">
        <f ca="1">OFFSET(COM!AD$247,$E116,0)</f>
        <v>3.3991930013916818</v>
      </c>
      <c r="AB116" s="24">
        <f ca="1">OFFSET(COM!AE$247,$E116,0)</f>
        <v>3.4307080957228102</v>
      </c>
      <c r="AC116" s="24">
        <f ca="1">OFFSET(COM!AF$247,$E116,0)</f>
        <v>3.4618636046738516</v>
      </c>
      <c r="AD116" s="24">
        <f ca="1">OFFSET(COM!AG$247,$E116,0)</f>
        <v>3.4926707691264336</v>
      </c>
      <c r="AE116" s="24">
        <f ca="1">OFFSET(COM!AH$247,$E116,0)</f>
        <v>3.5231402642097152</v>
      </c>
      <c r="AF116" s="24">
        <f ca="1">OFFSET(COM!AI$247,$E116,0)</f>
        <v>3.5532822381465876</v>
      </c>
      <c r="AG116" s="24">
        <f ca="1">OFFSET(COM!AJ$247,$E116,0)</f>
        <v>3.5871821752552076</v>
      </c>
      <c r="AH116" s="24">
        <f ca="1">OFFSET(COM!AK$247,$E116,0)</f>
        <v>3.6206843254673666</v>
      </c>
      <c r="AI116" s="24">
        <f ca="1">OFFSET(COM!AL$247,$E116,0)</f>
        <v>3.6538014699135219</v>
      </c>
      <c r="AJ116" s="24">
        <f ca="1">OFFSET(COM!AM$247,$E116,0)</f>
        <v>3.8173316550753849</v>
      </c>
      <c r="AK116" s="24">
        <f ca="1">OFFSET(COM!AN$247,$E116,0)</f>
        <v>3.9754127687188334</v>
      </c>
      <c r="AL116" s="24">
        <f ca="1">OFFSET(COM!AO$247,$E116,0)</f>
        <v>3.9754127687188334</v>
      </c>
      <c r="AM116" s="24">
        <f ca="1">OFFSET(COM!AP$247,$E116,0)</f>
        <v>3.9754127687188334</v>
      </c>
    </row>
    <row r="117" spans="1:39">
      <c r="A117" s="36" t="s">
        <v>245</v>
      </c>
      <c r="B117">
        <v>31.577350492680001</v>
      </c>
      <c r="E117" s="153">
        <f>MATCH(F117,COM!$D$248:$D$266,0)</f>
        <v>6</v>
      </c>
      <c r="F117" s="4" t="str">
        <f t="shared" si="1"/>
        <v>CEW</v>
      </c>
      <c r="G117" s="24">
        <f ca="1">OFFSET(COM!J$247,$E117,0)</f>
        <v>9.6831090230750316</v>
      </c>
      <c r="H117" s="24">
        <f ca="1">OFFSET(COM!K$247,$E117,0)</f>
        <v>10.363908171049657</v>
      </c>
      <c r="I117" s="24">
        <f ca="1">OFFSET(COM!L$247,$E117,0)</f>
        <v>11.087868256773234</v>
      </c>
      <c r="J117" s="24">
        <f ca="1">OFFSET(COM!M$247,$E117,0)</f>
        <v>11.809067510645612</v>
      </c>
      <c r="K117" s="24">
        <f ca="1">OFFSET(COM!N$247,$E117,0)</f>
        <v>12.537074237974865</v>
      </c>
      <c r="L117" s="24">
        <f ca="1">OFFSET(COM!O$247,$E117,0)</f>
        <v>13.273861719969343</v>
      </c>
      <c r="M117" s="24">
        <f ca="1">OFFSET(COM!P$247,$E117,0)</f>
        <v>13.182263921237922</v>
      </c>
      <c r="N117" s="24">
        <f ca="1">OFFSET(COM!Q$247,$E117,0)</f>
        <v>13.090566571352536</v>
      </c>
      <c r="O117" s="236">
        <f ca="1">OFFSET(COM!R$247,$E117,0)</f>
        <v>12.998771546089509</v>
      </c>
      <c r="P117" s="24">
        <f ca="1">OFFSET(COM!S$247,$E117,0)</f>
        <v>12.906880663872588</v>
      </c>
      <c r="Q117" s="24">
        <f ca="1">OFFSET(COM!T$247,$E117,0)</f>
        <v>12.814895688183542</v>
      </c>
      <c r="R117" s="24">
        <f ca="1">OFFSET(COM!U$247,$E117,0)</f>
        <v>12.727940780424403</v>
      </c>
      <c r="S117" s="24">
        <f ca="1">OFFSET(COM!V$247,$E117,0)</f>
        <v>12.64081804808017</v>
      </c>
      <c r="T117" s="236">
        <f ca="1">OFFSET(COM!W$247,$E117,0)</f>
        <v>12.553531521744086</v>
      </c>
      <c r="U117" s="24">
        <f ca="1">OFFSET(COM!X$247,$E117,0)</f>
        <v>12.466085075444045</v>
      </c>
      <c r="V117" s="24">
        <f ca="1">OFFSET(COM!Y$247,$E117,0)</f>
        <v>12.378482434976252</v>
      </c>
      <c r="W117" s="24">
        <f ca="1">OFFSET(COM!Z$247,$E117,0)</f>
        <v>12.297328131874185</v>
      </c>
      <c r="X117" s="24">
        <f ca="1">OFFSET(COM!AA$247,$E117,0)</f>
        <v>12.215900161493245</v>
      </c>
      <c r="Y117" s="248">
        <f ca="1">OFFSET(COM!AB$247,$E117,0)</f>
        <v>12.134206726441011</v>
      </c>
      <c r="Z117" s="24">
        <f ca="1">OFFSET(COM!AC$247,$E117,0)</f>
        <v>12.052255633173807</v>
      </c>
      <c r="AA117" s="24">
        <f ca="1">OFFSET(COM!AD$247,$E117,0)</f>
        <v>11.970054318118631</v>
      </c>
      <c r="AB117" s="24">
        <f ca="1">OFFSET(COM!AE$247,$E117,0)</f>
        <v>11.891156675451381</v>
      </c>
      <c r="AC117" s="24">
        <f ca="1">OFFSET(COM!AF$247,$E117,0)</f>
        <v>11.811947618388073</v>
      </c>
      <c r="AD117" s="24">
        <f ca="1">OFFSET(COM!AG$247,$E117,0)</f>
        <v>11.732436881952864</v>
      </c>
      <c r="AE117" s="24">
        <f ca="1">OFFSET(COM!AH$247,$E117,0)</f>
        <v>11.652633711207107</v>
      </c>
      <c r="AF117" s="24">
        <f ca="1">OFFSET(COM!AI$247,$E117,0)</f>
        <v>11.572546894891609</v>
      </c>
      <c r="AG117" s="24">
        <f ca="1">OFFSET(COM!AJ$247,$E117,0)</f>
        <v>11.495714615318576</v>
      </c>
      <c r="AH117" s="24">
        <f ca="1">OFFSET(COM!AK$247,$E117,0)</f>
        <v>11.418537837406674</v>
      </c>
      <c r="AI117" s="24">
        <f ca="1">OFFSET(COM!AL$247,$E117,0)</f>
        <v>11.341027630093189</v>
      </c>
      <c r="AJ117" s="24">
        <f ca="1">OFFSET(COM!AM$247,$E117,0)</f>
        <v>10.951696421498911</v>
      </c>
      <c r="AK117" s="24">
        <f ca="1">OFFSET(COM!AN$247,$E117,0)</f>
        <v>10.557646113046946</v>
      </c>
      <c r="AL117" s="24">
        <f ca="1">OFFSET(COM!AO$247,$E117,0)</f>
        <v>10.557646113046946</v>
      </c>
      <c r="AM117" s="24">
        <f ca="1">OFFSET(COM!AP$247,$E117,0)</f>
        <v>10.557646113046946</v>
      </c>
    </row>
    <row r="118" spans="1:39">
      <c r="A118" s="36" t="s">
        <v>249</v>
      </c>
      <c r="B118" t="s">
        <v>398</v>
      </c>
      <c r="E118" s="153">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1.4912179058134039</v>
      </c>
      <c r="N118" s="24">
        <f ca="1">OFFSET(COM!Q$247,$E118,0)</f>
        <v>2.9788274132314947</v>
      </c>
      <c r="O118" s="236">
        <f ca="1">OFFSET(COM!R$247,$E118,0)</f>
        <v>4.4628965129105538</v>
      </c>
      <c r="P118" s="24">
        <f ca="1">OFFSET(COM!S$247,$E118,0)</f>
        <v>5.9434911166665101</v>
      </c>
      <c r="Q118" s="24">
        <f ca="1">OFFSET(COM!T$247,$E118,0)</f>
        <v>7.4206751448510868</v>
      </c>
      <c r="R118" s="24">
        <f ca="1">OFFSET(COM!U$247,$E118,0)</f>
        <v>9.0801824141331462</v>
      </c>
      <c r="S118" s="24">
        <f ca="1">OFFSET(COM!V$247,$E118,0)</f>
        <v>10.733606600101652</v>
      </c>
      <c r="T118" s="236">
        <f ca="1">OFFSET(COM!W$247,$E118,0)</f>
        <v>12.381093798362846</v>
      </c>
      <c r="U118" s="24">
        <f ca="1">OFFSET(COM!X$247,$E118,0)</f>
        <v>14.022784429549574</v>
      </c>
      <c r="V118" s="24">
        <f ca="1">OFFSET(COM!Y$247,$E118,0)</f>
        <v>15.658813541388783</v>
      </c>
      <c r="W118" s="24">
        <f ca="1">OFFSET(COM!Z$247,$E118,0)</f>
        <v>17.528573446646845</v>
      </c>
      <c r="X118" s="24">
        <f ca="1">OFFSET(COM!AA$247,$E118,0)</f>
        <v>19.388413822792849</v>
      </c>
      <c r="Y118" s="248">
        <f ca="1">OFFSET(COM!AB$247,$E118,0)</f>
        <v>21.238631987083792</v>
      </c>
      <c r="Z118" s="24">
        <f ca="1">OFFSET(COM!AC$247,$E118,0)</f>
        <v>23.061102108505345</v>
      </c>
      <c r="AA118" s="24">
        <f ca="1">OFFSET(COM!AD$247,$E118,0)</f>
        <v>24.874593219000431</v>
      </c>
      <c r="AB118" s="24">
        <f ca="1">OFFSET(COM!AE$247,$E118,0)</f>
        <v>26.806633999803712</v>
      </c>
      <c r="AC118" s="24">
        <f ca="1">OFFSET(COM!AF$247,$E118,0)</f>
        <v>28.72749992134522</v>
      </c>
      <c r="AD118" s="24">
        <f ca="1">OFFSET(COM!AG$247,$E118,0)</f>
        <v>30.637540317266172</v>
      </c>
      <c r="AE118" s="24">
        <f ca="1">OFFSET(COM!AH$247,$E118,0)</f>
        <v>32.537086939280002</v>
      </c>
      <c r="AF118" s="24">
        <f ca="1">OFFSET(COM!AI$247,$E118,0)</f>
        <v>34.426455164398206</v>
      </c>
      <c r="AG118" s="24">
        <f ca="1">OFFSET(COM!AJ$247,$E118,0)</f>
        <v>36.432609866055316</v>
      </c>
      <c r="AH118" s="24">
        <f ca="1">OFFSET(COM!AK$247,$E118,0)</f>
        <v>38.426402517333557</v>
      </c>
      <c r="AI118" s="24">
        <f ca="1">OFFSET(COM!AL$247,$E118,0)</f>
        <v>40.408230318291643</v>
      </c>
      <c r="AJ118" s="24">
        <f ca="1">OFFSET(COM!AM$247,$E118,0)</f>
        <v>50.056584079287553</v>
      </c>
      <c r="AK118" s="24">
        <f ca="1">OFFSET(COM!AN$247,$E118,0)</f>
        <v>59.538983498188863</v>
      </c>
      <c r="AL118" s="24">
        <f ca="1">OFFSET(COM!AO$247,$E118,0)</f>
        <v>59.538983498188863</v>
      </c>
      <c r="AM118" s="24">
        <f ca="1">OFFSET(COM!AP$247,$E118,0)</f>
        <v>59.538983498188863</v>
      </c>
    </row>
    <row r="119" spans="1:39">
      <c r="A119" s="36" t="s">
        <v>255</v>
      </c>
      <c r="B119" t="s">
        <v>398</v>
      </c>
      <c r="E119" s="153">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36">
        <f ca="1">OFFSET(COM!R$247,$E119,0)</f>
        <v>0</v>
      </c>
      <c r="P119" s="24">
        <f ca="1">OFFSET(COM!S$247,$E119,0)</f>
        <v>0</v>
      </c>
      <c r="Q119" s="24">
        <f ca="1">OFFSET(COM!T$247,$E119,0)</f>
        <v>0</v>
      </c>
      <c r="R119" s="24">
        <f ca="1">OFFSET(COM!U$247,$E119,0)</f>
        <v>0</v>
      </c>
      <c r="S119" s="24">
        <f ca="1">OFFSET(COM!V$247,$E119,0)</f>
        <v>0</v>
      </c>
      <c r="T119" s="236">
        <f ca="1">OFFSET(COM!W$247,$E119,0)</f>
        <v>0</v>
      </c>
      <c r="U119" s="24">
        <f ca="1">OFFSET(COM!X$247,$E119,0)</f>
        <v>0</v>
      </c>
      <c r="V119" s="24">
        <f ca="1">OFFSET(COM!Y$247,$E119,0)</f>
        <v>0</v>
      </c>
      <c r="W119" s="24">
        <f ca="1">OFFSET(COM!Z$247,$E119,0)</f>
        <v>0</v>
      </c>
      <c r="X119" s="24">
        <f ca="1">OFFSET(COM!AA$247,$E119,0)</f>
        <v>0</v>
      </c>
      <c r="Y119" s="248">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250</v>
      </c>
      <c r="B120" t="s">
        <v>398</v>
      </c>
      <c r="E120" s="153">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0.14221199111343469</v>
      </c>
      <c r="N120" s="24">
        <f ca="1">OFFSET(COM!Q$247,$E120,0)</f>
        <v>0.28407986248519546</v>
      </c>
      <c r="O120" s="236">
        <f ca="1">OFFSET(COM!R$247,$E120,0)</f>
        <v>0.42561009813520273</v>
      </c>
      <c r="P120" s="24">
        <f ca="1">OFFSET(COM!S$247,$E120,0)</f>
        <v>0.56680898383198464</v>
      </c>
      <c r="Q120" s="24">
        <f ca="1">OFFSET(COM!T$247,$E120,0)</f>
        <v>0.70768261542542077</v>
      </c>
      <c r="R120" s="24">
        <f ca="1">OFFSET(COM!U$247,$E120,0)</f>
        <v>0.86594374688835762</v>
      </c>
      <c r="S120" s="24">
        <f ca="1">OFFSET(COM!V$247,$E120,0)</f>
        <v>1.0236247569708061</v>
      </c>
      <c r="T120" s="236">
        <f ca="1">OFFSET(COM!W$247,$E120,0)</f>
        <v>1.1807395782757586</v>
      </c>
      <c r="U120" s="24">
        <f ca="1">OFFSET(COM!X$247,$E120,0)</f>
        <v>1.3373016022047752</v>
      </c>
      <c r="V120" s="24">
        <f ca="1">OFFSET(COM!Y$247,$E120,0)</f>
        <v>1.4933237077650547</v>
      </c>
      <c r="W120" s="24">
        <f ca="1">OFFSET(COM!Z$247,$E120,0)</f>
        <v>1.6716358632147816</v>
      </c>
      <c r="X120" s="24">
        <f ca="1">OFFSET(COM!AA$247,$E120,0)</f>
        <v>1.8490020294965714</v>
      </c>
      <c r="Y120" s="248">
        <f ca="1">OFFSET(COM!AB$247,$E120,0)</f>
        <v>2.0254505606685034</v>
      </c>
      <c r="Z120" s="24">
        <f ca="1">OFFSET(COM!AC$247,$E120,0)</f>
        <v>2.1992528626001788</v>
      </c>
      <c r="AA120" s="24">
        <f ca="1">OFFSET(COM!AD$247,$E120,0)</f>
        <v>2.3721988691392735</v>
      </c>
      <c r="AB120" s="24">
        <f ca="1">OFFSET(COM!AE$247,$E120,0)</f>
        <v>2.5564505236287083</v>
      </c>
      <c r="AC120" s="24">
        <f ca="1">OFFSET(COM!AF$247,$E120,0)</f>
        <v>2.7396364727106142</v>
      </c>
      <c r="AD120" s="24">
        <f ca="1">OFFSET(COM!AG$247,$E120,0)</f>
        <v>2.921790031055159</v>
      </c>
      <c r="AE120" s="24">
        <f ca="1">OFFSET(COM!AH$247,$E120,0)</f>
        <v>3.1029428366084391</v>
      </c>
      <c r="AF120" s="24">
        <f ca="1">OFFSET(COM!AI$247,$E120,0)</f>
        <v>3.2831249657211896</v>
      </c>
      <c r="AG120" s="24">
        <f ca="1">OFFSET(COM!AJ$247,$E120,0)</f>
        <v>3.4744445934509924</v>
      </c>
      <c r="AH120" s="24">
        <f ca="1">OFFSET(COM!AK$247,$E120,0)</f>
        <v>3.6645852977037028</v>
      </c>
      <c r="AI120" s="24">
        <f ca="1">OFFSET(COM!AL$247,$E120,0)</f>
        <v>3.853584957994447</v>
      </c>
      <c r="AJ120" s="24">
        <f ca="1">OFFSET(COM!AM$247,$E120,0)</f>
        <v>4.773713125694786</v>
      </c>
      <c r="AK120" s="24">
        <f ca="1">OFFSET(COM!AN$247,$E120,0)</f>
        <v>5.6780148354836513</v>
      </c>
      <c r="AL120" s="24">
        <f ca="1">OFFSET(COM!AO$247,$E120,0)</f>
        <v>5.6780148354836513</v>
      </c>
      <c r="AM120" s="24">
        <f ca="1">OFFSET(COM!AP$247,$E120,0)</f>
        <v>5.6780148354836513</v>
      </c>
    </row>
    <row r="121" spans="1:39">
      <c r="A121" s="36" t="s">
        <v>251</v>
      </c>
      <c r="B121" t="s">
        <v>398</v>
      </c>
      <c r="E121" s="153">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0.1063672851732594</v>
      </c>
      <c r="N121" s="24">
        <f ca="1">OFFSET(COM!Q$247,$E121,0)</f>
        <v>0.21247718640575686</v>
      </c>
      <c r="O121" s="236">
        <f ca="1">OFFSET(COM!R$247,$E121,0)</f>
        <v>0.31833455341227768</v>
      </c>
      <c r="P121" s="24">
        <f ca="1">OFFSET(COM!S$247,$E121,0)</f>
        <v>0.42394408762572017</v>
      </c>
      <c r="Q121" s="24">
        <f ca="1">OFFSET(COM!T$247,$E121,0)</f>
        <v>0.52931034842956137</v>
      </c>
      <c r="R121" s="24">
        <f ca="1">OFFSET(COM!U$247,$E121,0)</f>
        <v>0.64768156853809289</v>
      </c>
      <c r="S121" s="24">
        <f ca="1">OFFSET(COM!V$247,$E121,0)</f>
        <v>0.76561888756816809</v>
      </c>
      <c r="T121" s="236">
        <f ca="1">OFFSET(COM!W$247,$E121,0)</f>
        <v>0.88313272639318985</v>
      </c>
      <c r="U121" s="24">
        <f ca="1">OFFSET(COM!X$247,$E121,0)</f>
        <v>1.0002331010956094</v>
      </c>
      <c r="V121" s="24">
        <f ca="1">OFFSET(COM!Y$247,$E121,0)</f>
        <v>1.1169296445131416</v>
      </c>
      <c r="W121" s="24">
        <f ca="1">OFFSET(COM!Z$247,$E121,0)</f>
        <v>1.250298003538866</v>
      </c>
      <c r="X121" s="24">
        <f ca="1">OFFSET(COM!AA$247,$E121,0)</f>
        <v>1.3829588111210798</v>
      </c>
      <c r="Y121" s="248">
        <f ca="1">OFFSET(COM!AB$247,$E121,0)</f>
        <v>1.5149332746429156</v>
      </c>
      <c r="Z121" s="24">
        <f ca="1">OFFSET(COM!AC$247,$E121,0)</f>
        <v>1.6449284942344162</v>
      </c>
      <c r="AA121" s="24">
        <f ca="1">OFFSET(COM!AD$247,$E121,0)</f>
        <v>1.7742832487322062</v>
      </c>
      <c r="AB121" s="24">
        <f ca="1">OFFSET(COM!AE$247,$E121,0)</f>
        <v>1.9120940488150913</v>
      </c>
      <c r="AC121" s="24">
        <f ca="1">OFFSET(COM!AF$247,$E121,0)</f>
        <v>2.0491077558391857</v>
      </c>
      <c r="AD121" s="24">
        <f ca="1">OFFSET(COM!AG$247,$E121,0)</f>
        <v>2.1853492874713787</v>
      </c>
      <c r="AE121" s="24">
        <f ca="1">OFFSET(COM!AH$247,$E121,0)</f>
        <v>2.3208423072748365</v>
      </c>
      <c r="AF121" s="24">
        <f ca="1">OFFSET(COM!AI$247,$E121,0)</f>
        <v>2.4556093108193808</v>
      </c>
      <c r="AG121" s="24">
        <f ca="1">OFFSET(COM!AJ$247,$E121,0)</f>
        <v>2.5987065928604256</v>
      </c>
      <c r="AH121" s="24">
        <f ca="1">OFFSET(COM!AK$247,$E121,0)</f>
        <v>2.7409221005257414</v>
      </c>
      <c r="AI121" s="24">
        <f ca="1">OFFSET(COM!AL$247,$E121,0)</f>
        <v>2.8822841657524307</v>
      </c>
      <c r="AJ121" s="24">
        <f ca="1">OFFSET(COM!AM$247,$E121,0)</f>
        <v>3.5704929057008354</v>
      </c>
      <c r="AK121" s="24">
        <f ca="1">OFFSET(COM!AN$247,$E121,0)</f>
        <v>4.2468642657716913</v>
      </c>
      <c r="AL121" s="24">
        <f ca="1">OFFSET(COM!AO$247,$E121,0)</f>
        <v>4.2468642657716913</v>
      </c>
      <c r="AM121" s="24">
        <f ca="1">OFFSET(COM!AP$247,$E121,0)</f>
        <v>4.2468642657716913</v>
      </c>
    </row>
    <row r="122" spans="1:39">
      <c r="A122" s="36" t="s">
        <v>252</v>
      </c>
      <c r="B122" t="s">
        <v>398</v>
      </c>
      <c r="E122" s="153">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1.2977039035729891</v>
      </c>
      <c r="N122" s="24">
        <f ca="1">OFFSET(COM!Q$247,$E122,0)</f>
        <v>2.5922676673548795</v>
      </c>
      <c r="O122" s="236">
        <f ca="1">OFFSET(COM!R$247,$E122,0)</f>
        <v>3.883750458915828</v>
      </c>
      <c r="P122" s="24">
        <f ca="1">OFFSET(COM!S$247,$E122,0)</f>
        <v>5.1722096367548778</v>
      </c>
      <c r="Q122" s="24">
        <f ca="1">OFFSET(COM!T$247,$E122,0)</f>
        <v>6.4577008263373781</v>
      </c>
      <c r="R122" s="24">
        <f ca="1">OFFSET(COM!U$247,$E122,0)</f>
        <v>7.9018553345146394</v>
      </c>
      <c r="S122" s="24">
        <f ca="1">OFFSET(COM!V$247,$E122,0)</f>
        <v>9.3407161556117035</v>
      </c>
      <c r="T122" s="236">
        <f ca="1">OFFSET(COM!W$247,$E122,0)</f>
        <v>10.774410426539808</v>
      </c>
      <c r="U122" s="24">
        <f ca="1">OFFSET(COM!X$247,$E122,0)</f>
        <v>12.203060345672958</v>
      </c>
      <c r="V122" s="24">
        <f ca="1">OFFSET(COM!Y$247,$E122,0)</f>
        <v>13.626783435716412</v>
      </c>
      <c r="W122" s="24">
        <f ca="1">OFFSET(COM!Z$247,$E122,0)</f>
        <v>15.253906284991844</v>
      </c>
      <c r="X122" s="24">
        <f ca="1">OFFSET(COM!AA$247,$E122,0)</f>
        <v>16.872396853498557</v>
      </c>
      <c r="Y122" s="248">
        <f ca="1">OFFSET(COM!AB$247,$E122,0)</f>
        <v>18.482513875901351</v>
      </c>
      <c r="Z122" s="24">
        <f ca="1">OFFSET(COM!AC$247,$E122,0)</f>
        <v>20.068483693923255</v>
      </c>
      <c r="AA122" s="24">
        <f ca="1">OFFSET(COM!AD$247,$E122,0)</f>
        <v>21.646639699165632</v>
      </c>
      <c r="AB122" s="24">
        <f ca="1">OFFSET(COM!AE$247,$E122,0)</f>
        <v>23.327961290957433</v>
      </c>
      <c r="AC122" s="24">
        <f ca="1">OFFSET(COM!AF$247,$E122,0)</f>
        <v>24.999558174891749</v>
      </c>
      <c r="AD122" s="24">
        <f ca="1">OFFSET(COM!AG$247,$E122,0)</f>
        <v>26.661734351898353</v>
      </c>
      <c r="AE122" s="24">
        <f ca="1">OFFSET(COM!AH$247,$E122,0)</f>
        <v>28.31477852257014</v>
      </c>
      <c r="AF122" s="24">
        <f ca="1">OFFSET(COM!AI$247,$E122,0)</f>
        <v>29.958965137728356</v>
      </c>
      <c r="AG122" s="24">
        <f ca="1">OFFSET(COM!AJ$247,$E122,0)</f>
        <v>31.70478295373136</v>
      </c>
      <c r="AH122" s="24">
        <f ca="1">OFFSET(COM!AK$247,$E122,0)</f>
        <v>33.439842931479959</v>
      </c>
      <c r="AI122" s="24">
        <f ca="1">OFFSET(COM!AL$247,$E122,0)</f>
        <v>35.164490726739594</v>
      </c>
      <c r="AJ122" s="24">
        <f ca="1">OFFSET(COM!AM$247,$E122,0)</f>
        <v>43.5607863250465</v>
      </c>
      <c r="AK122" s="24">
        <f ca="1">OFFSET(COM!AN$247,$E122,0)</f>
        <v>51.812663326506168</v>
      </c>
      <c r="AL122" s="24">
        <f ca="1">OFFSET(COM!AO$247,$E122,0)</f>
        <v>51.812663326506168</v>
      </c>
      <c r="AM122" s="24">
        <f ca="1">OFFSET(COM!AP$247,$E122,0)</f>
        <v>51.812663326506168</v>
      </c>
    </row>
    <row r="123" spans="1:39">
      <c r="A123" s="36" t="s">
        <v>257</v>
      </c>
      <c r="B123" t="s">
        <v>398</v>
      </c>
      <c r="E123" s="153">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0.21074883361483501</v>
      </c>
      <c r="N123" s="24">
        <f ca="1">OFFSET(COM!Q$247,$E123,0)</f>
        <v>0.42098770436638538</v>
      </c>
      <c r="O123" s="236">
        <f ca="1">OFFSET(COM!R$247,$E123,0)</f>
        <v>0.63072622114645172</v>
      </c>
      <c r="P123" s="24">
        <f ca="1">OFFSET(COM!S$247,$E123,0)</f>
        <v>0.83997369905128816</v>
      </c>
      <c r="Q123" s="24">
        <f ca="1">OFFSET(COM!T$247,$E123,0)</f>
        <v>1.0487391717301804</v>
      </c>
      <c r="R123" s="24">
        <f ca="1">OFFSET(COM!U$247,$E123,0)</f>
        <v>1.283271777604279</v>
      </c>
      <c r="S123" s="24">
        <f ca="1">OFFSET(COM!V$247,$E123,0)</f>
        <v>1.5169446816815342</v>
      </c>
      <c r="T123" s="236">
        <f ca="1">OFFSET(COM!W$247,$E123,0)</f>
        <v>1.7497785311648066</v>
      </c>
      <c r="U123" s="24">
        <f ca="1">OFFSET(COM!X$247,$E123,0)</f>
        <v>1.9817931712319699</v>
      </c>
      <c r="V123" s="24">
        <f ca="1">OFFSET(COM!Y$247,$E123,0)</f>
        <v>2.2130076877260945</v>
      </c>
      <c r="W123" s="24">
        <f ca="1">OFFSET(COM!Z$247,$E123,0)</f>
        <v>2.4772545946581714</v>
      </c>
      <c r="X123" s="24">
        <f ca="1">OFFSET(COM!AA$247,$E123,0)</f>
        <v>2.740099607754193</v>
      </c>
      <c r="Y123" s="248">
        <f ca="1">OFFSET(COM!AB$247,$E123,0)</f>
        <v>3.0015847458665905</v>
      </c>
      <c r="Z123" s="24">
        <f ca="1">OFFSET(COM!AC$247,$E123,0)</f>
        <v>3.2591483459884492</v>
      </c>
      <c r="AA123" s="24">
        <f ca="1">OFFSET(COM!AD$247,$E123,0)</f>
        <v>3.5154429725603049</v>
      </c>
      <c r="AB123" s="24">
        <f ca="1">OFFSET(COM!AE$247,$E123,0)</f>
        <v>3.7884918270994326</v>
      </c>
      <c r="AC123" s="24">
        <f ca="1">OFFSET(COM!AF$247,$E123,0)</f>
        <v>4.0599613761956421</v>
      </c>
      <c r="AD123" s="24">
        <f ca="1">OFFSET(COM!AG$247,$E123,0)</f>
        <v>4.3299009900027787</v>
      </c>
      <c r="AE123" s="24">
        <f ca="1">OFFSET(COM!AH$247,$E123,0)</f>
        <v>4.5983575538797075</v>
      </c>
      <c r="AF123" s="24">
        <f ca="1">OFFSET(COM!AI$247,$E123,0)</f>
        <v>4.8653756390034903</v>
      </c>
      <c r="AG123" s="24">
        <f ca="1">OFFSET(COM!AJ$247,$E123,0)</f>
        <v>5.1488987658227954</v>
      </c>
      <c r="AH123" s="24">
        <f ca="1">OFFSET(COM!AK$247,$E123,0)</f>
        <v>5.4306748054536502</v>
      </c>
      <c r="AI123" s="24">
        <f ca="1">OFFSET(COM!AL$247,$E123,0)</f>
        <v>5.7107598928504171</v>
      </c>
      <c r="AJ123" s="24">
        <f ca="1">OFFSET(COM!AM$247,$E123,0)</f>
        <v>7.0743294245105544</v>
      </c>
      <c r="AK123" s="24">
        <f ca="1">OFFSET(COM!AN$247,$E123,0)</f>
        <v>8.4144451846639221</v>
      </c>
      <c r="AL123" s="24">
        <f ca="1">OFFSET(COM!AO$247,$E123,0)</f>
        <v>8.4144451846639221</v>
      </c>
      <c r="AM123" s="24">
        <f ca="1">OFFSET(COM!AP$247,$E123,0)</f>
        <v>8.4144451846639221</v>
      </c>
    </row>
    <row r="124" spans="1:39">
      <c r="A124" s="36" t="s">
        <v>253</v>
      </c>
      <c r="B124" t="s">
        <v>398</v>
      </c>
      <c r="E124" s="153">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0.31568483105210576</v>
      </c>
      <c r="N124" s="24">
        <f ca="1">OFFSET(COM!Q$247,$E124,0)</f>
        <v>0.63060577868157275</v>
      </c>
      <c r="O124" s="236">
        <f ca="1">OFFSET(COM!R$247,$E124,0)</f>
        <v>0.94477723623678911</v>
      </c>
      <c r="P124" s="24">
        <f ca="1">OFFSET(COM!S$247,$E124,0)</f>
        <v>1.2582131569840045</v>
      </c>
      <c r="Q124" s="24">
        <f ca="1">OFFSET(COM!T$247,$E124,0)</f>
        <v>1.5709270726045084</v>
      </c>
      <c r="R124" s="24">
        <f ca="1">OFFSET(COM!U$247,$E124,0)</f>
        <v>1.9222380848252816</v>
      </c>
      <c r="S124" s="24">
        <f ca="1">OFFSET(COM!V$247,$E124,0)</f>
        <v>2.2722613327826098</v>
      </c>
      <c r="T124" s="236">
        <f ca="1">OFFSET(COM!W$247,$E124,0)</f>
        <v>2.6210277443285501</v>
      </c>
      <c r="U124" s="24">
        <f ca="1">OFFSET(COM!X$247,$E124,0)</f>
        <v>2.9685670459461213</v>
      </c>
      <c r="V124" s="24">
        <f ca="1">OFFSET(COM!Y$247,$E124,0)</f>
        <v>3.314907826695781</v>
      </c>
      <c r="W124" s="24">
        <f ca="1">OFFSET(COM!Z$247,$E124,0)</f>
        <v>3.7107284760444292</v>
      </c>
      <c r="X124" s="24">
        <f ca="1">OFFSET(COM!AA$247,$E124,0)</f>
        <v>4.1044492009892393</v>
      </c>
      <c r="Y124" s="248">
        <f ca="1">OFFSET(COM!AB$247,$E124,0)</f>
        <v>4.4961329423973249</v>
      </c>
      <c r="Z124" s="24">
        <f ca="1">OFFSET(COM!AC$247,$E124,0)</f>
        <v>4.8819425347685046</v>
      </c>
      <c r="AA124" s="24">
        <f ca="1">OFFSET(COM!AD$247,$E124,0)</f>
        <v>5.2658513066517552</v>
      </c>
      <c r="AB124" s="24">
        <f ca="1">OFFSET(COM!AE$247,$E124,0)</f>
        <v>5.6748565667790309</v>
      </c>
      <c r="AC124" s="24">
        <f ca="1">OFFSET(COM!AF$247,$E124,0)</f>
        <v>6.0814961541603374</v>
      </c>
      <c r="AD124" s="24">
        <f ca="1">OFFSET(COM!AG$247,$E124,0)</f>
        <v>6.4858440213220483</v>
      </c>
      <c r="AE124" s="24">
        <f ca="1">OFFSET(COM!AH$247,$E124,0)</f>
        <v>6.8879703987671634</v>
      </c>
      <c r="AF124" s="24">
        <f ca="1">OFFSET(COM!AI$247,$E124,0)</f>
        <v>7.2879420505401606</v>
      </c>
      <c r="AG124" s="24">
        <f ca="1">OFFSET(COM!AJ$247,$E124,0)</f>
        <v>7.7126369295300714</v>
      </c>
      <c r="AH124" s="24">
        <f ca="1">OFFSET(COM!AK$247,$E124,0)</f>
        <v>8.1347148121909445</v>
      </c>
      <c r="AI124" s="24">
        <f ca="1">OFFSET(COM!AL$247,$E124,0)</f>
        <v>8.5542597841771535</v>
      </c>
      <c r="AJ124" s="24">
        <f ca="1">OFFSET(COM!AM$247,$E124,0)</f>
        <v>10.596777457212706</v>
      </c>
      <c r="AK124" s="24">
        <f ca="1">OFFSET(COM!AN$247,$E124,0)</f>
        <v>12.604163263709999</v>
      </c>
      <c r="AL124" s="24">
        <f ca="1">OFFSET(COM!AO$247,$E124,0)</f>
        <v>12.604163263709999</v>
      </c>
      <c r="AM124" s="24">
        <f ca="1">OFFSET(COM!AP$247,$E124,0)</f>
        <v>12.604163263709999</v>
      </c>
    </row>
    <row r="125" spans="1:39">
      <c r="A125" s="36" t="s">
        <v>256</v>
      </c>
      <c r="B125" t="s">
        <v>398</v>
      </c>
      <c r="E125" s="153">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36">
        <f ca="1">OFFSET(COM!R$247,$E125,0)</f>
        <v>0</v>
      </c>
      <c r="P125" s="24">
        <f ca="1">OFFSET(COM!S$247,$E125,0)</f>
        <v>0</v>
      </c>
      <c r="Q125" s="24">
        <f ca="1">OFFSET(COM!T$247,$E125,0)</f>
        <v>0</v>
      </c>
      <c r="R125" s="24">
        <f ca="1">OFFSET(COM!U$247,$E125,0)</f>
        <v>0</v>
      </c>
      <c r="S125" s="24">
        <f ca="1">OFFSET(COM!V$247,$E125,0)</f>
        <v>0</v>
      </c>
      <c r="T125" s="236">
        <f ca="1">OFFSET(COM!W$247,$E125,0)</f>
        <v>0</v>
      </c>
      <c r="U125" s="24">
        <f ca="1">OFFSET(COM!X$247,$E125,0)</f>
        <v>0</v>
      </c>
      <c r="V125" s="24">
        <f ca="1">OFFSET(COM!Y$247,$E125,0)</f>
        <v>0</v>
      </c>
      <c r="W125" s="24">
        <f ca="1">OFFSET(COM!Z$247,$E125,0)</f>
        <v>0</v>
      </c>
      <c r="X125" s="24">
        <f ca="1">OFFSET(COM!AA$247,$E125,0)</f>
        <v>0</v>
      </c>
      <c r="Y125" s="248">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254</v>
      </c>
      <c r="B126" t="s">
        <v>398</v>
      </c>
      <c r="E126" s="153">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0.16456327387310041</v>
      </c>
      <c r="N126" s="24">
        <f ca="1">OFFSET(COM!Q$247,$E126,0)</f>
        <v>0.32872834313032523</v>
      </c>
      <c r="O126" s="236">
        <f ca="1">OFFSET(COM!R$247,$E126,0)</f>
        <v>0.49250271087698655</v>
      </c>
      <c r="P126" s="24">
        <f ca="1">OFFSET(COM!S$247,$E126,0)</f>
        <v>0.65589365080807804</v>
      </c>
      <c r="Q126" s="24">
        <f ca="1">OFFSET(COM!T$247,$E126,0)</f>
        <v>0.81890821685066562</v>
      </c>
      <c r="R126" s="24">
        <f ca="1">OFFSET(COM!U$247,$E126,0)</f>
        <v>1.002043054612892</v>
      </c>
      <c r="S126" s="24">
        <f ca="1">OFFSET(COM!V$247,$E126,0)</f>
        <v>1.1845065940347357</v>
      </c>
      <c r="T126" s="236">
        <f ca="1">OFFSET(COM!W$247,$E126,0)</f>
        <v>1.36631495748917</v>
      </c>
      <c r="U126" s="24">
        <f ca="1">OFFSET(COM!X$247,$E126,0)</f>
        <v>1.5474836410877764</v>
      </c>
      <c r="V126" s="24">
        <f ca="1">OFFSET(COM!Y$247,$E126,0)</f>
        <v>1.7280275480153864</v>
      </c>
      <c r="W126" s="24">
        <f ca="1">OFFSET(COM!Z$247,$E126,0)</f>
        <v>1.9343648044058861</v>
      </c>
      <c r="X126" s="24">
        <f ca="1">OFFSET(COM!AA$247,$E126,0)</f>
        <v>2.139607391680896</v>
      </c>
      <c r="Y126" s="248">
        <f ca="1">OFFSET(COM!AB$247,$E126,0)</f>
        <v>2.343788120270736</v>
      </c>
      <c r="Z126" s="24">
        <f ca="1">OFFSET(COM!AC$247,$E126,0)</f>
        <v>2.5449067150434073</v>
      </c>
      <c r="AA126" s="24">
        <f ca="1">OFFSET(COM!AD$247,$E126,0)</f>
        <v>2.7450344315356867</v>
      </c>
      <c r="AB126" s="24">
        <f ca="1">OFFSET(COM!AE$247,$E126,0)</f>
        <v>2.9582446906841664</v>
      </c>
      <c r="AC126" s="24">
        <f ca="1">OFFSET(COM!AF$247,$E126,0)</f>
        <v>3.1702217488242495</v>
      </c>
      <c r="AD126" s="24">
        <f ca="1">OFFSET(COM!AG$247,$E126,0)</f>
        <v>3.3810041566516116</v>
      </c>
      <c r="AE126" s="24">
        <f ca="1">OFFSET(COM!AH$247,$E126,0)</f>
        <v>3.5906285246092073</v>
      </c>
      <c r="AF126" s="24">
        <f ca="1">OFFSET(COM!AI$247,$E126,0)</f>
        <v>3.7991296561106189</v>
      </c>
      <c r="AG126" s="24">
        <f ca="1">OFFSET(COM!AJ$247,$E126,0)</f>
        <v>4.0205187531121922</v>
      </c>
      <c r="AH126" s="24">
        <f ca="1">OFFSET(COM!AK$247,$E126,0)</f>
        <v>4.2405436366918376</v>
      </c>
      <c r="AI126" s="24">
        <f ca="1">OFFSET(COM!AL$247,$E126,0)</f>
        <v>4.4592481398412245</v>
      </c>
      <c r="AJ126" s="24">
        <f ca="1">OFFSET(COM!AM$247,$E126,0)</f>
        <v>5.5239917136714096</v>
      </c>
      <c r="AK126" s="24">
        <f ca="1">OFFSET(COM!AN$247,$E126,0)</f>
        <v>6.5704214047738745</v>
      </c>
      <c r="AL126" s="24">
        <f ca="1">OFFSET(COM!AO$247,$E126,0)</f>
        <v>6.5704214047738745</v>
      </c>
      <c r="AM126" s="24">
        <f ca="1">OFFSET(COM!AP$247,$E126,0)</f>
        <v>6.5704214047738745</v>
      </c>
    </row>
    <row r="127" spans="1:39">
      <c r="A127" s="36" t="s">
        <v>299</v>
      </c>
      <c r="B127">
        <v>9</v>
      </c>
      <c r="E127" s="154">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6.2238693978673263</v>
      </c>
      <c r="N127" s="10">
        <f ca="1">OFFSET(IND!Q$25,$E127,0)</f>
        <v>6.217738795734653</v>
      </c>
      <c r="O127" s="246">
        <f ca="1">OFFSET(IND!R$25,$E127,0)</f>
        <v>6.2116081936019798</v>
      </c>
      <c r="P127" s="10">
        <f ca="1">OFFSET(IND!S$25,$E127,0)</f>
        <v>6.303259392502313</v>
      </c>
      <c r="Q127" s="10">
        <f ca="1">OFFSET(IND!T$25,$E127,0)</f>
        <v>6.3949105914026463</v>
      </c>
      <c r="R127" s="10">
        <f ca="1">OFFSET(IND!U$25,$E127,0)</f>
        <v>6.4865617903029795</v>
      </c>
      <c r="S127" s="10">
        <f ca="1">OFFSET(IND!V$25,$E127,0)</f>
        <v>6.5782129892033137</v>
      </c>
      <c r="T127" s="246">
        <f ca="1">OFFSET(IND!W$25,$E127,0)</f>
        <v>6.6698641881036478</v>
      </c>
      <c r="U127" s="10">
        <f ca="1">OFFSET(IND!X$25,$E127,0)</f>
        <v>6.8670785306564426</v>
      </c>
      <c r="V127" s="10">
        <f ca="1">OFFSET(IND!Y$25,$E127,0)</f>
        <v>7.0642928732092365</v>
      </c>
      <c r="W127" s="10">
        <f ca="1">OFFSET(IND!Z$25,$E127,0)</f>
        <v>7.2615072157620304</v>
      </c>
      <c r="X127" s="10">
        <f ca="1">OFFSET(IND!AA$25,$E127,0)</f>
        <v>7.4587215583148243</v>
      </c>
      <c r="Y127" s="249">
        <f ca="1">OFFSET(IND!AB$25,$E127,0)</f>
        <v>7.6559359008676209</v>
      </c>
      <c r="Z127" s="10">
        <f ca="1">OFFSET(IND!AC$25,$E127,0)</f>
        <v>7.7945532675315317</v>
      </c>
      <c r="AA127" s="10">
        <f ca="1">OFFSET(IND!AD$25,$E127,0)</f>
        <v>7.9331706341954433</v>
      </c>
      <c r="AB127" s="10">
        <f ca="1">OFFSET(IND!AE$25,$E127,0)</f>
        <v>8.0717880008593532</v>
      </c>
      <c r="AC127" s="10">
        <f ca="1">OFFSET(IND!AF$25,$E127,0)</f>
        <v>8.2104053675232631</v>
      </c>
      <c r="AD127" s="10">
        <f ca="1">OFFSET(IND!AG$25,$E127,0)</f>
        <v>8.3490227341871712</v>
      </c>
      <c r="AE127" s="10">
        <f ca="1">OFFSET(IND!AH$25,$E127,0)</f>
        <v>8.5289043739086488</v>
      </c>
      <c r="AF127" s="10">
        <f ca="1">OFFSET(IND!AI$25,$E127,0)</f>
        <v>8.7087860136301281</v>
      </c>
      <c r="AG127" s="10">
        <f ca="1">OFFSET(IND!AJ$25,$E127,0)</f>
        <v>8.8886676533516074</v>
      </c>
      <c r="AH127" s="10">
        <f ca="1">OFFSET(IND!AK$25,$E127,0)</f>
        <v>9.0685492930730867</v>
      </c>
      <c r="AI127" s="10">
        <f ca="1">OFFSET(IND!AL$25,$E127,0)</f>
        <v>9.2484309327945642</v>
      </c>
      <c r="AJ127" s="10">
        <f ca="1">OFFSET(IND!AM$25,$E127,0)</f>
        <v>9.9375508343611507</v>
      </c>
      <c r="AK127" s="10">
        <f ca="1">OFFSET(IND!AN$25,$E127,0)</f>
        <v>10.731882326602902</v>
      </c>
      <c r="AL127" s="10">
        <f ca="1">OFFSET(IND!AO$25,$E127,0)</f>
        <v>12.197798455298726</v>
      </c>
      <c r="AM127" s="10">
        <f ca="1">OFFSET(IND!AP$25,$E127,0)</f>
        <v>13.681249849107051</v>
      </c>
    </row>
    <row r="128" spans="1:39">
      <c r="A128" s="36" t="s">
        <v>308</v>
      </c>
      <c r="B128">
        <v>3.4</v>
      </c>
      <c r="E128" s="154">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9.69593642640924</v>
      </c>
      <c r="N128" s="10">
        <f ca="1">OFFSET(IND!Q$25,$E128,0)</f>
        <v>9.7806944158184788</v>
      </c>
      <c r="O128" s="246">
        <f ca="1">OFFSET(IND!R$25,$E128,0)</f>
        <v>9.8654524052277193</v>
      </c>
      <c r="P128" s="10">
        <f ca="1">OFFSET(IND!S$25,$E128,0)</f>
        <v>10.074172094513136</v>
      </c>
      <c r="Q128" s="10">
        <f ca="1">OFFSET(IND!T$25,$E128,0)</f>
        <v>10.282891783798553</v>
      </c>
      <c r="R128" s="10">
        <f ca="1">OFFSET(IND!U$25,$E128,0)</f>
        <v>10.491611473083969</v>
      </c>
      <c r="S128" s="10">
        <f ca="1">OFFSET(IND!V$25,$E128,0)</f>
        <v>10.700331162369386</v>
      </c>
      <c r="T128" s="246">
        <f ca="1">OFFSET(IND!W$25,$E128,0)</f>
        <v>10.909050851654808</v>
      </c>
      <c r="U128" s="10">
        <f ca="1">OFFSET(IND!X$25,$E128,0)</f>
        <v>11.187007758983407</v>
      </c>
      <c r="V128" s="10">
        <f ca="1">OFFSET(IND!Y$25,$E128,0)</f>
        <v>11.464964666312007</v>
      </c>
      <c r="W128" s="10">
        <f ca="1">OFFSET(IND!Z$25,$E128,0)</f>
        <v>11.742921573640606</v>
      </c>
      <c r="X128" s="10">
        <f ca="1">OFFSET(IND!AA$25,$E128,0)</f>
        <v>12.020878480969206</v>
      </c>
      <c r="Y128" s="249">
        <f ca="1">OFFSET(IND!AB$25,$E128,0)</f>
        <v>12.298835388297809</v>
      </c>
      <c r="Z128" s="10">
        <f ca="1">OFFSET(IND!AC$25,$E128,0)</f>
        <v>12.597898746374955</v>
      </c>
      <c r="AA128" s="10">
        <f ca="1">OFFSET(IND!AD$25,$E128,0)</f>
        <v>12.896962104452101</v>
      </c>
      <c r="AB128" s="10">
        <f ca="1">OFFSET(IND!AE$25,$E128,0)</f>
        <v>13.196025462529246</v>
      </c>
      <c r="AC128" s="10">
        <f ca="1">OFFSET(IND!AF$25,$E128,0)</f>
        <v>13.495088820606391</v>
      </c>
      <c r="AD128" s="10">
        <f ca="1">OFFSET(IND!AG$25,$E128,0)</f>
        <v>13.794152178683538</v>
      </c>
      <c r="AE128" s="10">
        <f ca="1">OFFSET(IND!AH$25,$E128,0)</f>
        <v>14.129014123647183</v>
      </c>
      <c r="AF128" s="10">
        <f ca="1">OFFSET(IND!AI$25,$E128,0)</f>
        <v>14.463876068610828</v>
      </c>
      <c r="AG128" s="10">
        <f ca="1">OFFSET(IND!AJ$25,$E128,0)</f>
        <v>14.798738013574473</v>
      </c>
      <c r="AH128" s="10">
        <f ca="1">OFFSET(IND!AK$25,$E128,0)</f>
        <v>15.133599958538118</v>
      </c>
      <c r="AI128" s="10">
        <f ca="1">OFFSET(IND!AL$25,$E128,0)</f>
        <v>15.468461903501762</v>
      </c>
      <c r="AJ128" s="10">
        <f ca="1">OFFSET(IND!AM$25,$E128,0)</f>
        <v>17.199996335361426</v>
      </c>
      <c r="AK128" s="10">
        <f ca="1">OFFSET(IND!AN$25,$E128,0)</f>
        <v>19.0109738094304</v>
      </c>
      <c r="AL128" s="10">
        <f ca="1">OFFSET(IND!AO$25,$E128,0)</f>
        <v>22.540245208324137</v>
      </c>
      <c r="AM128" s="10">
        <f ca="1">OFFSET(IND!AP$25,$E128,0)</f>
        <v>26.082757114252786</v>
      </c>
    </row>
    <row r="129" spans="1:39">
      <c r="A129" s="36" t="s">
        <v>300</v>
      </c>
      <c r="B129">
        <v>10</v>
      </c>
      <c r="E129" s="154">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14.890124378582435</v>
      </c>
      <c r="N129" s="10">
        <f ca="1">OFFSET(IND!Q$25,$E129,0)</f>
        <v>15.02028787686452</v>
      </c>
      <c r="O129" s="246">
        <f ca="1">OFFSET(IND!R$25,$E129,0)</f>
        <v>15.150451375146609</v>
      </c>
      <c r="P129" s="10">
        <f ca="1">OFFSET(IND!S$25,$E129,0)</f>
        <v>15.470983812349266</v>
      </c>
      <c r="Q129" s="10">
        <f ca="1">OFFSET(IND!T$25,$E129,0)</f>
        <v>15.79151624955192</v>
      </c>
      <c r="R129" s="10">
        <f ca="1">OFFSET(IND!U$25,$E129,0)</f>
        <v>16.112048686754576</v>
      </c>
      <c r="S129" s="10">
        <f ca="1">OFFSET(IND!V$25,$E129,0)</f>
        <v>16.432581123957231</v>
      </c>
      <c r="T129" s="246">
        <f ca="1">OFFSET(IND!W$25,$E129,0)</f>
        <v>16.753113561159889</v>
      </c>
      <c r="U129" s="10">
        <f ca="1">OFFSET(IND!X$25,$E129,0)</f>
        <v>17.179974128307986</v>
      </c>
      <c r="V129" s="10">
        <f ca="1">OFFSET(IND!Y$25,$E129,0)</f>
        <v>17.606834695456087</v>
      </c>
      <c r="W129" s="10">
        <f ca="1">OFFSET(IND!Z$25,$E129,0)</f>
        <v>18.033695262604184</v>
      </c>
      <c r="X129" s="10">
        <f ca="1">OFFSET(IND!AA$25,$E129,0)</f>
        <v>18.46055582975228</v>
      </c>
      <c r="Y129" s="249">
        <f ca="1">OFFSET(IND!AB$25,$E129,0)</f>
        <v>18.887416396900385</v>
      </c>
      <c r="Z129" s="10">
        <f ca="1">OFFSET(IND!AC$25,$E129,0)</f>
        <v>19.346690303308865</v>
      </c>
      <c r="AA129" s="10">
        <f ca="1">OFFSET(IND!AD$25,$E129,0)</f>
        <v>19.805964209717345</v>
      </c>
      <c r="AB129" s="10">
        <f ca="1">OFFSET(IND!AE$25,$E129,0)</f>
        <v>20.265238116125825</v>
      </c>
      <c r="AC129" s="10">
        <f ca="1">OFFSET(IND!AF$25,$E129,0)</f>
        <v>20.724512022534302</v>
      </c>
      <c r="AD129" s="10">
        <f ca="1">OFFSET(IND!AG$25,$E129,0)</f>
        <v>21.183785928942783</v>
      </c>
      <c r="AE129" s="10">
        <f ca="1">OFFSET(IND!AH$25,$E129,0)</f>
        <v>21.698036001435185</v>
      </c>
      <c r="AF129" s="10">
        <f ca="1">OFFSET(IND!AI$25,$E129,0)</f>
        <v>22.21228607392759</v>
      </c>
      <c r="AG129" s="10">
        <f ca="1">OFFSET(IND!AJ$25,$E129,0)</f>
        <v>22.726536146419996</v>
      </c>
      <c r="AH129" s="10">
        <f ca="1">OFFSET(IND!AK$25,$E129,0)</f>
        <v>23.240786218912401</v>
      </c>
      <c r="AI129" s="10">
        <f ca="1">OFFSET(IND!AL$25,$E129,0)</f>
        <v>23.755036291404803</v>
      </c>
      <c r="AJ129" s="10">
        <f ca="1">OFFSET(IND!AM$25,$E129,0)</f>
        <v>26.414167077984928</v>
      </c>
      <c r="AK129" s="10">
        <f ca="1">OFFSET(IND!AN$25,$E129,0)</f>
        <v>29.19529915742498</v>
      </c>
      <c r="AL129" s="10">
        <f ca="1">OFFSET(IND!AO$25,$E129,0)</f>
        <v>34.615228474635146</v>
      </c>
      <c r="AM129" s="10">
        <f ca="1">OFFSET(IND!AP$25,$E129,0)</f>
        <v>40.055491340655337</v>
      </c>
    </row>
    <row r="130" spans="1:39">
      <c r="A130" s="36" t="s">
        <v>307</v>
      </c>
      <c r="B130">
        <v>0.63500000000000001</v>
      </c>
      <c r="E130" s="154">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1.172686757536981</v>
      </c>
      <c r="N130" s="10">
        <f ca="1">OFFSET(IND!Q$25,$E130,0)</f>
        <v>1.1829379150739621</v>
      </c>
      <c r="O130" s="246">
        <f ca="1">OFFSET(IND!R$25,$E130,0)</f>
        <v>1.1931890726109433</v>
      </c>
      <c r="P130" s="10">
        <f ca="1">OFFSET(IND!S$25,$E130,0)</f>
        <v>1.2184329278610222</v>
      </c>
      <c r="Q130" s="10">
        <f ca="1">OFFSET(IND!T$25,$E130,0)</f>
        <v>1.2436767831111011</v>
      </c>
      <c r="R130" s="10">
        <f ca="1">OFFSET(IND!U$25,$E130,0)</f>
        <v>1.26892063836118</v>
      </c>
      <c r="S130" s="10">
        <f ca="1">OFFSET(IND!V$25,$E130,0)</f>
        <v>1.2941644936112588</v>
      </c>
      <c r="T130" s="246">
        <f ca="1">OFFSET(IND!W$25,$E130,0)</f>
        <v>1.3194083488613382</v>
      </c>
      <c r="U130" s="10">
        <f ca="1">OFFSET(IND!X$25,$E130,0)</f>
        <v>1.3530261831844224</v>
      </c>
      <c r="V130" s="10">
        <f ca="1">OFFSET(IND!Y$25,$E130,0)</f>
        <v>1.3866440175075063</v>
      </c>
      <c r="W130" s="10">
        <f ca="1">OFFSET(IND!Z$25,$E130,0)</f>
        <v>1.4202618518305903</v>
      </c>
      <c r="X130" s="10">
        <f ca="1">OFFSET(IND!AA$25,$E130,0)</f>
        <v>1.4538796861536742</v>
      </c>
      <c r="Y130" s="249">
        <f ca="1">OFFSET(IND!AB$25,$E130,0)</f>
        <v>1.4874975204767589</v>
      </c>
      <c r="Z130" s="10">
        <f ca="1">OFFSET(IND!AC$25,$E130,0)</f>
        <v>1.5236681000121579</v>
      </c>
      <c r="AA130" s="10">
        <f ca="1">OFFSET(IND!AD$25,$E130,0)</f>
        <v>1.5598386795475569</v>
      </c>
      <c r="AB130" s="10">
        <f ca="1">OFFSET(IND!AE$25,$E130,0)</f>
        <v>1.5960092590829558</v>
      </c>
      <c r="AC130" s="10">
        <f ca="1">OFFSET(IND!AF$25,$E130,0)</f>
        <v>1.6321798386183548</v>
      </c>
      <c r="AD130" s="10">
        <f ca="1">OFFSET(IND!AG$25,$E130,0)</f>
        <v>1.6683504181537541</v>
      </c>
      <c r="AE130" s="10">
        <f ca="1">OFFSET(IND!AH$25,$E130,0)</f>
        <v>1.7088507010756142</v>
      </c>
      <c r="AF130" s="10">
        <f ca="1">OFFSET(IND!AI$25,$E130,0)</f>
        <v>1.7493509839974746</v>
      </c>
      <c r="AG130" s="10">
        <f ca="1">OFFSET(IND!AJ$25,$E130,0)</f>
        <v>1.7898512669193347</v>
      </c>
      <c r="AH130" s="10">
        <f ca="1">OFFSET(IND!AK$25,$E130,0)</f>
        <v>1.8303515498411949</v>
      </c>
      <c r="AI130" s="10">
        <f ca="1">OFFSET(IND!AL$25,$E130,0)</f>
        <v>1.8708518327630548</v>
      </c>
      <c r="AJ130" s="10">
        <f ca="1">OFFSET(IND!AM$25,$E130,0)</f>
        <v>2.0802743587741017</v>
      </c>
      <c r="AK130" s="10">
        <f ca="1">OFFSET(IND!AN$25,$E130,0)</f>
        <v>2.299305219605039</v>
      </c>
      <c r="AL130" s="10">
        <f ca="1">OFFSET(IND!AO$25,$E130,0)</f>
        <v>2.7261572173103734</v>
      </c>
      <c r="AM130" s="10">
        <f ca="1">OFFSET(IND!AP$25,$E130,0)</f>
        <v>3.1546106041523587</v>
      </c>
    </row>
    <row r="131" spans="1:39">
      <c r="A131" s="36" t="s">
        <v>306</v>
      </c>
      <c r="B131">
        <v>1.53</v>
      </c>
      <c r="E131" s="154">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1.3711577586710817</v>
      </c>
      <c r="N131" s="10">
        <f ca="1">OFFSET(IND!Q$25,$E131,0)</f>
        <v>1.3831438701384893</v>
      </c>
      <c r="O131" s="246">
        <f ca="1">OFFSET(IND!R$25,$E131,0)</f>
        <v>1.3951299816058973</v>
      </c>
      <c r="P131" s="10">
        <f ca="1">OFFSET(IND!S$25,$E131,0)</f>
        <v>1.4246462251913663</v>
      </c>
      <c r="Q131" s="10">
        <f ca="1">OFFSET(IND!T$25,$E131,0)</f>
        <v>1.4541624687768353</v>
      </c>
      <c r="R131" s="10">
        <f ca="1">OFFSET(IND!U$25,$E131,0)</f>
        <v>1.4836787123623043</v>
      </c>
      <c r="S131" s="10">
        <f ca="1">OFFSET(IND!V$25,$E131,0)</f>
        <v>1.5131949559477733</v>
      </c>
      <c r="T131" s="246">
        <f ca="1">OFFSET(IND!W$25,$E131,0)</f>
        <v>1.542711199533243</v>
      </c>
      <c r="U131" s="10">
        <f ca="1">OFFSET(IND!X$25,$E131,0)</f>
        <v>1.5820186736439177</v>
      </c>
      <c r="V131" s="10">
        <f ca="1">OFFSET(IND!Y$25,$E131,0)</f>
        <v>1.6213261477545922</v>
      </c>
      <c r="W131" s="10">
        <f ca="1">OFFSET(IND!Z$25,$E131,0)</f>
        <v>1.6606336218652669</v>
      </c>
      <c r="X131" s="10">
        <f ca="1">OFFSET(IND!AA$25,$E131,0)</f>
        <v>1.6999410959759413</v>
      </c>
      <c r="Y131" s="249">
        <f ca="1">OFFSET(IND!AB$25,$E131,0)</f>
        <v>1.7392485700866165</v>
      </c>
      <c r="Z131" s="10">
        <f ca="1">OFFSET(IND!AC$25,$E131,0)</f>
        <v>1.781540827969496</v>
      </c>
      <c r="AA131" s="10">
        <f ca="1">OFFSET(IND!AD$25,$E131,0)</f>
        <v>1.8238330858523755</v>
      </c>
      <c r="AB131" s="10">
        <f ca="1">OFFSET(IND!AE$25,$E131,0)</f>
        <v>1.8661253437352552</v>
      </c>
      <c r="AC131" s="10">
        <f ca="1">OFFSET(IND!AF$25,$E131,0)</f>
        <v>1.9084176016181349</v>
      </c>
      <c r="AD131" s="10">
        <f ca="1">OFFSET(IND!AG$25,$E131,0)</f>
        <v>1.9507098595010148</v>
      </c>
      <c r="AE131" s="10">
        <f ca="1">OFFSET(IND!AH$25,$E131,0)</f>
        <v>1.9980646000570674</v>
      </c>
      <c r="AF131" s="10">
        <f ca="1">OFFSET(IND!AI$25,$E131,0)</f>
        <v>2.0454193406131203</v>
      </c>
      <c r="AG131" s="10">
        <f ca="1">OFFSET(IND!AJ$25,$E131,0)</f>
        <v>2.0927740811691731</v>
      </c>
      <c r="AH131" s="10">
        <f ca="1">OFFSET(IND!AK$25,$E131,0)</f>
        <v>2.1401288217252259</v>
      </c>
      <c r="AI131" s="10">
        <f ca="1">OFFSET(IND!AL$25,$E131,0)</f>
        <v>2.1874835622812783</v>
      </c>
      <c r="AJ131" s="10">
        <f ca="1">OFFSET(IND!AM$25,$E131,0)</f>
        <v>2.4323497377838081</v>
      </c>
      <c r="AK131" s="10">
        <f ca="1">OFFSET(IND!AN$25,$E131,0)</f>
        <v>2.6884504077082525</v>
      </c>
      <c r="AL131" s="10">
        <f ca="1">OFFSET(IND!AO$25,$E131,0)</f>
        <v>3.1875448373982396</v>
      </c>
      <c r="AM131" s="10">
        <f ca="1">OFFSET(IND!AP$25,$E131,0)</f>
        <v>3.6885116828252156</v>
      </c>
    </row>
    <row r="132" spans="1:39">
      <c r="A132" s="36" t="s">
        <v>397</v>
      </c>
      <c r="B132">
        <v>7.8658203618</v>
      </c>
      <c r="E132" s="154">
        <f ca="1">MATCH(F132,IND!$D$26:$D$255,0)</f>
        <v>228</v>
      </c>
      <c r="F132" s="4" t="str">
        <f>A132</f>
        <v>IOTR</v>
      </c>
      <c r="G132" s="10">
        <f ca="1">OFFSET(IND!J$25,$E132,0)</f>
        <v>9.4685659246785185</v>
      </c>
      <c r="H132" s="10">
        <f ca="1">OFFSET(IND!K$25,$E132,0)</f>
        <v>9.6135446942417211</v>
      </c>
      <c r="I132" s="10">
        <f ca="1">OFFSET(IND!L$25,$E132,0)</f>
        <v>9.7585234638049236</v>
      </c>
      <c r="J132" s="10">
        <f ca="1">OFFSET(IND!M$25,$E132,0)</f>
        <v>37.630000000000003</v>
      </c>
      <c r="K132" s="10">
        <f ca="1">OFFSET(IND!N$25,$E132,0)</f>
        <v>37.630000000000003</v>
      </c>
      <c r="L132" s="10">
        <f ca="1">OFFSET(IND!O$25,$E132,0)</f>
        <v>37.630000000000003</v>
      </c>
      <c r="M132" s="10">
        <f ca="1">OFFSET(IND!P$25,$E132,0)</f>
        <v>37.888708687835098</v>
      </c>
      <c r="N132" s="10">
        <f ca="1">OFFSET(IND!Q$25,$E132,0)</f>
        <v>38.147417375670194</v>
      </c>
      <c r="O132" s="246">
        <f ca="1">OFFSET(IND!R$25,$E132,0)</f>
        <v>38.406126063505297</v>
      </c>
      <c r="P132" s="10">
        <f ca="1">OFFSET(IND!S$25,$E132,0)</f>
        <v>39.208676713743102</v>
      </c>
      <c r="Q132" s="10">
        <f ca="1">OFFSET(IND!T$25,$E132,0)</f>
        <v>40.011227363980908</v>
      </c>
      <c r="R132" s="10">
        <f ca="1">OFFSET(IND!U$25,$E132,0)</f>
        <v>40.813778014218713</v>
      </c>
      <c r="S132" s="10">
        <f ca="1">OFFSET(IND!V$25,$E132,0)</f>
        <v>41.61632866445651</v>
      </c>
      <c r="T132" s="246">
        <f ca="1">OFFSET(IND!W$25,$E132,0)</f>
        <v>42.418879314694301</v>
      </c>
      <c r="U132" s="10">
        <f ca="1">OFFSET(IND!X$25,$E132,0)</f>
        <v>43.515987738756117</v>
      </c>
      <c r="V132" s="10">
        <f ca="1">OFFSET(IND!Y$25,$E132,0)</f>
        <v>44.613096162817939</v>
      </c>
      <c r="W132" s="10">
        <f ca="1">OFFSET(IND!Z$25,$E132,0)</f>
        <v>45.710204586879755</v>
      </c>
      <c r="X132" s="10">
        <f ca="1">OFFSET(IND!AA$25,$E132,0)</f>
        <v>46.80731301094157</v>
      </c>
      <c r="Y132" s="249">
        <f ca="1">OFFSET(IND!AB$25,$E132,0)</f>
        <v>47.904421435003407</v>
      </c>
      <c r="Z132" s="10">
        <f ca="1">OFFSET(IND!AC$25,$E132,0)</f>
        <v>49.083245792203122</v>
      </c>
      <c r="AA132" s="10">
        <f ca="1">OFFSET(IND!AD$25,$E132,0)</f>
        <v>50.262070149402838</v>
      </c>
      <c r="AB132" s="10">
        <f ca="1">OFFSET(IND!AE$25,$E132,0)</f>
        <v>51.440894506602554</v>
      </c>
      <c r="AC132" s="10">
        <f ca="1">OFFSET(IND!AF$25,$E132,0)</f>
        <v>52.619718863802277</v>
      </c>
      <c r="AD132" s="10">
        <f ca="1">OFFSET(IND!AG$25,$E132,0)</f>
        <v>53.798543221001999</v>
      </c>
      <c r="AE132" s="10">
        <f ca="1">OFFSET(IND!AH$25,$E132,0)</f>
        <v>55.13733647891803</v>
      </c>
      <c r="AF132" s="10">
        <f ca="1">OFFSET(IND!AI$25,$E132,0)</f>
        <v>56.476129736834054</v>
      </c>
      <c r="AG132" s="10">
        <f ca="1">OFFSET(IND!AJ$25,$E132,0)</f>
        <v>57.814922994750077</v>
      </c>
      <c r="AH132" s="10">
        <f ca="1">OFFSET(IND!AK$25,$E132,0)</f>
        <v>59.153716252666108</v>
      </c>
      <c r="AI132" s="10">
        <f ca="1">OFFSET(IND!AL$25,$E132,0)</f>
        <v>60.492509510582117</v>
      </c>
      <c r="AJ132" s="10">
        <f ca="1">OFFSET(IND!AM$25,$E132,0)</f>
        <v>67.266633726897325</v>
      </c>
      <c r="AK132" s="10">
        <f ca="1">OFFSET(IND!AN$25,$E132,0)</f>
        <v>74.391317529120741</v>
      </c>
      <c r="AL132" s="10">
        <f ca="1">OFFSET(IND!AO$25,$E132,0)</f>
        <v>88.231698950008322</v>
      </c>
      <c r="AM132" s="10">
        <f ca="1">OFFSET(IND!AP$25,$E132,0)</f>
        <v>102.1305069685468</v>
      </c>
    </row>
    <row r="133" spans="1:39">
      <c r="A133" s="36" t="s">
        <v>309</v>
      </c>
      <c r="E133" s="154">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2.2031273196208052</v>
      </c>
      <c r="N133" s="10">
        <f ca="1">OFFSET(IND!Q$25,$E133,0)</f>
        <v>2.2261946392416099</v>
      </c>
      <c r="O133" s="246">
        <f ca="1">OFFSET(IND!R$25,$E133,0)</f>
        <v>2.2492619588624141</v>
      </c>
      <c r="P133" s="10">
        <f ca="1">OFFSET(IND!S$25,$E133,0)</f>
        <v>2.2968474910230667</v>
      </c>
      <c r="Q133" s="10">
        <f ca="1">OFFSET(IND!T$25,$E133,0)</f>
        <v>2.3444330231837194</v>
      </c>
      <c r="R133" s="10">
        <f ca="1">OFFSET(IND!U$25,$E133,0)</f>
        <v>2.392018555344372</v>
      </c>
      <c r="S133" s="10">
        <f ca="1">OFFSET(IND!V$25,$E133,0)</f>
        <v>2.4396040875050247</v>
      </c>
      <c r="T133" s="246">
        <f ca="1">OFFSET(IND!W$25,$E133,0)</f>
        <v>2.4871896196656764</v>
      </c>
      <c r="U133" s="10">
        <f ca="1">OFFSET(IND!X$25,$E133,0)</f>
        <v>2.5479043710009499</v>
      </c>
      <c r="V133" s="10">
        <f ca="1">OFFSET(IND!Y$25,$E133,0)</f>
        <v>2.6086191223362234</v>
      </c>
      <c r="W133" s="10">
        <f ca="1">OFFSET(IND!Z$25,$E133,0)</f>
        <v>2.6693338736714964</v>
      </c>
      <c r="X133" s="10">
        <f ca="1">OFFSET(IND!AA$25,$E133,0)</f>
        <v>2.7300486250067695</v>
      </c>
      <c r="Y133" s="249">
        <f ca="1">OFFSET(IND!AB$25,$E133,0)</f>
        <v>2.7907633763420425</v>
      </c>
      <c r="Z133" s="10">
        <f ca="1">OFFSET(IND!AC$25,$E133,0)</f>
        <v>2.8477959369399342</v>
      </c>
      <c r="AA133" s="10">
        <f ca="1">OFFSET(IND!AD$25,$E133,0)</f>
        <v>2.9048284975378253</v>
      </c>
      <c r="AB133" s="10">
        <f ca="1">OFFSET(IND!AE$25,$E133,0)</f>
        <v>2.9618610581357165</v>
      </c>
      <c r="AC133" s="10">
        <f ca="1">OFFSET(IND!AF$25,$E133,0)</f>
        <v>3.0188936187336077</v>
      </c>
      <c r="AD133" s="10">
        <f ca="1">OFFSET(IND!AG$25,$E133,0)</f>
        <v>3.0759261793314985</v>
      </c>
      <c r="AE133" s="10">
        <f ca="1">OFFSET(IND!AH$25,$E133,0)</f>
        <v>3.1454548601243193</v>
      </c>
      <c r="AF133" s="10">
        <f ca="1">OFFSET(IND!AI$25,$E133,0)</f>
        <v>3.2149835409171401</v>
      </c>
      <c r="AG133" s="10">
        <f ca="1">OFFSET(IND!AJ$25,$E133,0)</f>
        <v>3.2845122217099609</v>
      </c>
      <c r="AH133" s="10">
        <f ca="1">OFFSET(IND!AK$25,$E133,0)</f>
        <v>3.3540409025027818</v>
      </c>
      <c r="AI133" s="10">
        <f ca="1">OFFSET(IND!AL$25,$E133,0)</f>
        <v>3.423569583295603</v>
      </c>
      <c r="AJ133" s="10">
        <f ca="1">OFFSET(IND!AM$25,$E133,0)</f>
        <v>3.7613969935111329</v>
      </c>
      <c r="AK133" s="10">
        <f ca="1">OFFSET(IND!AN$25,$E133,0)</f>
        <v>4.1177349820115055</v>
      </c>
      <c r="AL133" s="10">
        <f ca="1">OFFSET(IND!AO$25,$E133,0)</f>
        <v>4.8088152843466094</v>
      </c>
      <c r="AM133" s="10">
        <f ca="1">OFFSET(IND!AP$25,$E133,0)</f>
        <v>5.5029806830625052</v>
      </c>
    </row>
    <row r="134" spans="1:39">
      <c r="A134" s="36" t="s">
        <v>310</v>
      </c>
      <c r="E134" s="154">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0.66608124300218063</v>
      </c>
      <c r="N134" s="10">
        <f ca="1">OFFSET(IND!Q$25,$E134,0)</f>
        <v>0.67305528793772196</v>
      </c>
      <c r="O134" s="246">
        <f ca="1">OFFSET(IND!R$25,$E134,0)</f>
        <v>0.68002933287326317</v>
      </c>
      <c r="P134" s="10">
        <f ca="1">OFFSET(IND!S$25,$E134,0)</f>
        <v>0.69441607762841562</v>
      </c>
      <c r="Q134" s="10">
        <f ca="1">OFFSET(IND!T$25,$E134,0)</f>
        <v>0.70880282238356807</v>
      </c>
      <c r="R134" s="10">
        <f ca="1">OFFSET(IND!U$25,$E134,0)</f>
        <v>0.7231895671387204</v>
      </c>
      <c r="S134" s="10">
        <f ca="1">OFFSET(IND!V$25,$E134,0)</f>
        <v>0.73757631189387274</v>
      </c>
      <c r="T134" s="246">
        <f ca="1">OFFSET(IND!W$25,$E134,0)</f>
        <v>0.75196305664902496</v>
      </c>
      <c r="U134" s="10">
        <f ca="1">OFFSET(IND!X$25,$E134,0)</f>
        <v>0.77031921640329992</v>
      </c>
      <c r="V134" s="10">
        <f ca="1">OFFSET(IND!Y$25,$E134,0)</f>
        <v>0.78867537615757488</v>
      </c>
      <c r="W134" s="10">
        <f ca="1">OFFSET(IND!Z$25,$E134,0)</f>
        <v>0.80703153591184984</v>
      </c>
      <c r="X134" s="10">
        <f ca="1">OFFSET(IND!AA$25,$E134,0)</f>
        <v>0.8253876956661248</v>
      </c>
      <c r="Y134" s="249">
        <f ca="1">OFFSET(IND!AB$25,$E134,0)</f>
        <v>0.84374385542039965</v>
      </c>
      <c r="Z134" s="10">
        <f ca="1">OFFSET(IND!AC$25,$E134,0)</f>
        <v>0.86098676213592218</v>
      </c>
      <c r="AA134" s="10">
        <f ca="1">OFFSET(IND!AD$25,$E134,0)</f>
        <v>0.8782296688514446</v>
      </c>
      <c r="AB134" s="10">
        <f ca="1">OFFSET(IND!AE$25,$E134,0)</f>
        <v>0.89547257556696713</v>
      </c>
      <c r="AC134" s="10">
        <f ca="1">OFFSET(IND!AF$25,$E134,0)</f>
        <v>0.91271548228248955</v>
      </c>
      <c r="AD134" s="10">
        <f ca="1">OFFSET(IND!AG$25,$E134,0)</f>
        <v>0.92995838899801186</v>
      </c>
      <c r="AE134" s="10">
        <f ca="1">OFFSET(IND!AH$25,$E134,0)</f>
        <v>0.95097930309332379</v>
      </c>
      <c r="AF134" s="10">
        <f ca="1">OFFSET(IND!AI$25,$E134,0)</f>
        <v>0.97200021718863572</v>
      </c>
      <c r="AG134" s="10">
        <f ca="1">OFFSET(IND!AJ$25,$E134,0)</f>
        <v>0.99302113128394764</v>
      </c>
      <c r="AH134" s="10">
        <f ca="1">OFFSET(IND!AK$25,$E134,0)</f>
        <v>1.0140420453792596</v>
      </c>
      <c r="AI134" s="10">
        <f ca="1">OFFSET(IND!AL$25,$E134,0)</f>
        <v>1.0350629594745717</v>
      </c>
      <c r="AJ134" s="10">
        <f ca="1">OFFSET(IND!AM$25,$E134,0)</f>
        <v>1.1371998170735678</v>
      </c>
      <c r="AK134" s="10">
        <f ca="1">OFFSET(IND!AN$25,$E134,0)</f>
        <v>1.2449330598123833</v>
      </c>
      <c r="AL134" s="10">
        <f ca="1">OFFSET(IND!AO$25,$E134,0)</f>
        <v>1.4538704292935607</v>
      </c>
      <c r="AM134" s="10">
        <f ca="1">OFFSET(IND!AP$25,$E134,0)</f>
        <v>1.6637405296313703</v>
      </c>
    </row>
    <row r="135" spans="1:39" s="4" customFormat="1">
      <c r="A135" s="36" t="s">
        <v>505</v>
      </c>
      <c r="E135" s="154">
        <f>MATCH(F135,IND!$D$26:$D$255,0)</f>
        <v>2</v>
      </c>
      <c r="F135" s="4" t="str">
        <f>A135</f>
        <v>IFA_M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4.3737724672554208</v>
      </c>
      <c r="N135" s="10">
        <f ca="1">OFFSET(IND!Q$25,$E135,0)</f>
        <v>4.3747908304283785</v>
      </c>
      <c r="O135" s="246">
        <f ca="1">OFFSET(IND!R$25,$E135,0)</f>
        <v>4.3758091936013361</v>
      </c>
      <c r="P135" s="10">
        <f ca="1">OFFSET(IND!S$25,$E135,0)</f>
        <v>4.4257772500312873</v>
      </c>
      <c r="Q135" s="10">
        <f ca="1">OFFSET(IND!T$25,$E135,0)</f>
        <v>4.4757453064612385</v>
      </c>
      <c r="R135" s="10">
        <f ca="1">OFFSET(IND!U$25,$E135,0)</f>
        <v>4.5257133628911896</v>
      </c>
      <c r="S135" s="10">
        <f ca="1">OFFSET(IND!V$25,$E135,0)</f>
        <v>4.5756814193211408</v>
      </c>
      <c r="T135" s="246">
        <f ca="1">OFFSET(IND!W$25,$E135,0)</f>
        <v>4.6256494757510946</v>
      </c>
      <c r="U135" s="10">
        <f ca="1">OFFSET(IND!X$25,$E135,0)</f>
        <v>4.7176322572531992</v>
      </c>
      <c r="V135" s="10">
        <f ca="1">OFFSET(IND!Y$25,$E135,0)</f>
        <v>4.8096150387553038</v>
      </c>
      <c r="W135" s="10">
        <f ca="1">OFFSET(IND!Z$25,$E135,0)</f>
        <v>4.9015978202574093</v>
      </c>
      <c r="X135" s="10">
        <f ca="1">OFFSET(IND!AA$25,$E135,0)</f>
        <v>4.9935806017595148</v>
      </c>
      <c r="Y135" s="249">
        <f ca="1">OFFSET(IND!AB$25,$E135,0)</f>
        <v>5.0855633832616194</v>
      </c>
      <c r="Z135" s="10">
        <f ca="1">OFFSET(IND!AC$25,$E135,0)</f>
        <v>5.1902587105701423</v>
      </c>
      <c r="AA135" s="10">
        <f ca="1">OFFSET(IND!AD$25,$E135,0)</f>
        <v>5.2949540378786653</v>
      </c>
      <c r="AB135" s="10">
        <f ca="1">OFFSET(IND!AE$25,$E135,0)</f>
        <v>5.3996493651871882</v>
      </c>
      <c r="AC135" s="10">
        <f ca="1">OFFSET(IND!AF$25,$E135,0)</f>
        <v>5.5043446924957111</v>
      </c>
      <c r="AD135" s="10">
        <f ca="1">OFFSET(IND!AG$25,$E135,0)</f>
        <v>5.6090400198042332</v>
      </c>
      <c r="AE135" s="10">
        <f ca="1">OFFSET(IND!AH$25,$E135,0)</f>
        <v>5.7343102277638138</v>
      </c>
      <c r="AF135" s="10">
        <f ca="1">OFFSET(IND!AI$25,$E135,0)</f>
        <v>5.8595804357233945</v>
      </c>
      <c r="AG135" s="10">
        <f ca="1">OFFSET(IND!AJ$25,$E135,0)</f>
        <v>5.9848506436829751</v>
      </c>
      <c r="AH135" s="10">
        <f ca="1">OFFSET(IND!AK$25,$E135,0)</f>
        <v>6.1101208516425558</v>
      </c>
      <c r="AI135" s="10">
        <f ca="1">OFFSET(IND!AL$25,$E135,0)</f>
        <v>6.2353910596021356</v>
      </c>
      <c r="AJ135" s="10">
        <f ca="1">OFFSET(IND!AM$25,$E135,0)</f>
        <v>6.8077649388196217</v>
      </c>
      <c r="AK135" s="10">
        <f ca="1">OFFSET(IND!AN$25,$E135,0)</f>
        <v>7.357115654868605</v>
      </c>
      <c r="AL135" s="10">
        <f ca="1">OFFSET(IND!AO$25,$E135,0)</f>
        <v>8.4826774439964758</v>
      </c>
      <c r="AM135" s="10">
        <f ca="1">OFFSET(IND!AP$25,$E135,0)</f>
        <v>9.6044020392629399</v>
      </c>
    </row>
    <row r="136" spans="1:39">
      <c r="B136" s="4"/>
      <c r="C136" s="4"/>
      <c r="E136" s="154"/>
      <c r="F136" s="4"/>
      <c r="G136" s="10"/>
      <c r="H136" s="10"/>
      <c r="I136" s="10"/>
      <c r="J136" s="10"/>
      <c r="K136" s="10"/>
      <c r="L136" s="10"/>
      <c r="M136" s="10"/>
      <c r="N136" s="10"/>
      <c r="O136" s="246"/>
      <c r="P136" s="10"/>
      <c r="Q136" s="10"/>
      <c r="R136" s="10"/>
      <c r="S136" s="10"/>
      <c r="T136" s="246"/>
      <c r="U136" s="10"/>
      <c r="V136" s="10"/>
      <c r="W136" s="10"/>
      <c r="X136" s="10"/>
      <c r="Y136" s="249"/>
      <c r="Z136" s="10"/>
      <c r="AA136" s="10"/>
      <c r="AB136" s="10"/>
      <c r="AC136" s="10"/>
      <c r="AD136" s="10"/>
      <c r="AE136" s="10"/>
      <c r="AF136" s="10"/>
      <c r="AG136" s="10"/>
      <c r="AH136" s="10"/>
      <c r="AI136" s="10"/>
      <c r="AJ136" s="10"/>
      <c r="AK136" s="10"/>
      <c r="AL136" s="10"/>
      <c r="AM136" s="10"/>
    </row>
    <row r="137" spans="1:39">
      <c r="B137" s="4"/>
      <c r="C137" s="4"/>
      <c r="E137" s="154"/>
      <c r="F137" s="4"/>
      <c r="G137" s="10"/>
      <c r="H137" s="10"/>
      <c r="I137" s="10"/>
      <c r="J137" s="10"/>
      <c r="K137" s="10"/>
      <c r="L137" s="10"/>
      <c r="M137" s="10"/>
      <c r="N137" s="10"/>
      <c r="O137" s="246"/>
      <c r="P137" s="10"/>
      <c r="Q137" s="10"/>
      <c r="R137" s="10"/>
      <c r="S137" s="10"/>
      <c r="T137" s="246"/>
      <c r="U137" s="10"/>
      <c r="V137" s="10"/>
      <c r="W137" s="10"/>
      <c r="X137" s="10"/>
      <c r="Y137" s="249"/>
      <c r="Z137" s="10"/>
      <c r="AA137" s="10"/>
      <c r="AB137" s="10"/>
      <c r="AC137" s="10"/>
      <c r="AD137" s="10"/>
      <c r="AE137" s="10"/>
      <c r="AF137" s="10"/>
      <c r="AG137" s="10"/>
      <c r="AH137" s="10"/>
      <c r="AI137" s="10"/>
      <c r="AJ137" s="10"/>
      <c r="AK137" s="10"/>
      <c r="AL137" s="10"/>
      <c r="AM137" s="10"/>
    </row>
    <row r="138" spans="1:39">
      <c r="B138" s="4"/>
      <c r="C138" s="4"/>
      <c r="E138" s="154"/>
      <c r="F138" s="4"/>
      <c r="G138" s="10"/>
      <c r="H138" s="10"/>
      <c r="I138" s="10"/>
      <c r="J138" s="10"/>
      <c r="K138" s="10"/>
      <c r="L138" s="10"/>
      <c r="M138" s="10"/>
      <c r="N138" s="10"/>
      <c r="O138" s="246"/>
      <c r="P138" s="10"/>
      <c r="Q138" s="10"/>
      <c r="R138" s="10"/>
      <c r="S138" s="10"/>
      <c r="T138" s="246"/>
      <c r="U138" s="10"/>
      <c r="V138" s="10"/>
      <c r="W138" s="10"/>
      <c r="X138" s="10"/>
      <c r="Y138" s="249"/>
      <c r="Z138" s="10"/>
      <c r="AA138" s="10"/>
      <c r="AB138" s="10"/>
      <c r="AC138" s="10"/>
      <c r="AD138" s="10"/>
      <c r="AE138" s="10"/>
      <c r="AF138" s="10"/>
      <c r="AG138" s="10"/>
      <c r="AH138" s="10"/>
      <c r="AI138" s="10"/>
      <c r="AJ138" s="10"/>
      <c r="AK138" s="10"/>
      <c r="AL138" s="10"/>
      <c r="AM138" s="10"/>
    </row>
    <row r="139" spans="1:39">
      <c r="B139" s="4"/>
      <c r="C139" s="4"/>
      <c r="E139" s="154"/>
      <c r="F139" s="4"/>
      <c r="G139" s="10"/>
      <c r="H139" s="10"/>
      <c r="I139" s="10"/>
      <c r="J139" s="10"/>
      <c r="K139" s="10"/>
      <c r="L139" s="10"/>
      <c r="M139" s="10"/>
      <c r="N139" s="10"/>
      <c r="O139" s="246"/>
      <c r="P139" s="10"/>
      <c r="Q139" s="10"/>
      <c r="R139" s="10"/>
      <c r="S139" s="10"/>
      <c r="T139" s="246"/>
      <c r="U139" s="10"/>
      <c r="V139" s="10"/>
      <c r="W139" s="10"/>
      <c r="X139" s="10"/>
      <c r="Y139" s="249"/>
      <c r="Z139" s="10"/>
      <c r="AA139" s="10"/>
      <c r="AB139" s="10"/>
      <c r="AC139" s="10"/>
      <c r="AD139" s="10"/>
      <c r="AE139" s="10"/>
      <c r="AF139" s="10"/>
      <c r="AG139" s="10"/>
      <c r="AH139" s="10"/>
      <c r="AI139" s="10"/>
      <c r="AJ139" s="10"/>
      <c r="AK139" s="10"/>
      <c r="AL139" s="10"/>
      <c r="AM139" s="10"/>
    </row>
    <row r="140" spans="1:39">
      <c r="B140" s="4"/>
      <c r="C140" s="4"/>
      <c r="E140" s="154"/>
      <c r="F140" s="4"/>
      <c r="G140" s="10"/>
      <c r="H140" s="10"/>
      <c r="I140" s="10"/>
      <c r="J140" s="10"/>
      <c r="K140" s="10"/>
      <c r="L140" s="10"/>
      <c r="M140" s="10"/>
      <c r="N140" s="10"/>
      <c r="O140" s="246"/>
      <c r="P140" s="10"/>
      <c r="Q140" s="10"/>
      <c r="R140" s="10"/>
      <c r="S140" s="10"/>
      <c r="T140" s="246"/>
      <c r="U140" s="10"/>
      <c r="V140" s="10"/>
      <c r="W140" s="10"/>
      <c r="X140" s="10"/>
      <c r="Y140" s="249"/>
      <c r="Z140" s="10"/>
      <c r="AA140" s="10"/>
      <c r="AB140" s="10"/>
      <c r="AC140" s="10"/>
      <c r="AD140" s="10"/>
      <c r="AE140" s="10"/>
      <c r="AF140" s="10"/>
      <c r="AG140" s="10"/>
      <c r="AH140" s="10"/>
      <c r="AI140" s="10"/>
      <c r="AJ140" s="10"/>
      <c r="AK140" s="10"/>
      <c r="AL140" s="10"/>
      <c r="AM140" s="10"/>
    </row>
    <row r="141" spans="1:39">
      <c r="B141" s="4"/>
      <c r="C141" s="4"/>
      <c r="E141" s="154"/>
      <c r="F141" s="4"/>
      <c r="G141" s="10"/>
      <c r="H141" s="10"/>
      <c r="I141" s="10"/>
      <c r="J141" s="10"/>
      <c r="K141" s="10"/>
      <c r="L141" s="10"/>
      <c r="M141" s="10"/>
      <c r="N141" s="10"/>
      <c r="O141" s="246"/>
      <c r="P141" s="10"/>
      <c r="Q141" s="10"/>
      <c r="R141" s="10"/>
      <c r="S141" s="10"/>
      <c r="T141" s="246"/>
      <c r="U141" s="10"/>
      <c r="V141" s="10"/>
      <c r="W141" s="10"/>
      <c r="X141" s="10"/>
      <c r="Y141" s="249"/>
      <c r="Z141" s="10"/>
      <c r="AA141" s="10"/>
      <c r="AB141" s="10"/>
      <c r="AC141" s="10"/>
      <c r="AD141" s="10"/>
      <c r="AE141" s="10"/>
      <c r="AF141" s="10"/>
      <c r="AG141" s="10"/>
      <c r="AH141" s="10"/>
      <c r="AI141" s="10"/>
      <c r="AJ141" s="10"/>
      <c r="AK141" s="10"/>
      <c r="AL141" s="10"/>
      <c r="AM141" s="10"/>
    </row>
    <row r="142" spans="1:39">
      <c r="B142" s="4"/>
      <c r="C142" s="4"/>
      <c r="E142" s="154"/>
      <c r="F142" s="4"/>
      <c r="G142" s="10"/>
      <c r="H142" s="10"/>
      <c r="I142" s="10"/>
      <c r="J142" s="10"/>
      <c r="K142" s="10"/>
      <c r="L142" s="10"/>
      <c r="M142" s="10"/>
      <c r="N142" s="10"/>
      <c r="O142" s="246"/>
      <c r="P142" s="10"/>
      <c r="Q142" s="10"/>
      <c r="R142" s="10"/>
      <c r="S142" s="10"/>
      <c r="T142" s="246"/>
      <c r="U142" s="10"/>
      <c r="V142" s="10"/>
      <c r="W142" s="10"/>
      <c r="X142" s="10"/>
      <c r="Y142" s="249"/>
      <c r="Z142" s="10"/>
      <c r="AA142" s="10"/>
      <c r="AB142" s="10"/>
      <c r="AC142" s="10"/>
      <c r="AD142" s="10"/>
      <c r="AE142" s="10"/>
      <c r="AF142" s="10"/>
      <c r="AG142" s="10"/>
      <c r="AH142" s="10"/>
      <c r="AI142" s="10"/>
      <c r="AJ142" s="10"/>
      <c r="AK142" s="10"/>
      <c r="AL142" s="10"/>
      <c r="AM142" s="10"/>
    </row>
    <row r="143" spans="1:39">
      <c r="B143" s="4"/>
      <c r="C143" s="4"/>
      <c r="E143" s="154"/>
      <c r="F143" s="4"/>
      <c r="G143" s="10"/>
      <c r="H143" s="10"/>
      <c r="I143" s="10"/>
      <c r="J143" s="10"/>
      <c r="K143" s="10"/>
      <c r="L143" s="10"/>
      <c r="M143" s="10"/>
      <c r="N143" s="10"/>
      <c r="O143" s="246"/>
      <c r="P143" s="10"/>
      <c r="Q143" s="10"/>
      <c r="R143" s="10"/>
      <c r="S143" s="10"/>
      <c r="T143" s="246"/>
      <c r="U143" s="10"/>
      <c r="V143" s="10"/>
      <c r="W143" s="10"/>
      <c r="X143" s="10"/>
      <c r="Y143" s="249"/>
      <c r="Z143" s="10"/>
      <c r="AA143" s="10"/>
      <c r="AB143" s="10"/>
      <c r="AC143" s="10"/>
      <c r="AD143" s="10"/>
      <c r="AE143" s="10"/>
      <c r="AF143" s="10"/>
      <c r="AG143" s="10"/>
      <c r="AH143" s="10"/>
      <c r="AI143" s="10"/>
      <c r="AJ143" s="10"/>
      <c r="AK143" s="10"/>
      <c r="AL143" s="10"/>
      <c r="AM143" s="10"/>
    </row>
    <row r="144" spans="1:39">
      <c r="B144" s="4"/>
      <c r="C144" s="4"/>
      <c r="E144" s="154"/>
      <c r="F144" s="4"/>
      <c r="G144" s="10"/>
      <c r="H144" s="10"/>
      <c r="I144" s="10"/>
      <c r="J144" s="10"/>
      <c r="K144" s="10"/>
      <c r="L144" s="10"/>
      <c r="M144" s="10"/>
      <c r="N144" s="10"/>
      <c r="O144" s="246"/>
      <c r="P144" s="10"/>
      <c r="Q144" s="10"/>
      <c r="R144" s="10"/>
      <c r="S144" s="10"/>
      <c r="T144" s="246"/>
      <c r="U144" s="10"/>
      <c r="V144" s="10"/>
      <c r="W144" s="10"/>
      <c r="X144" s="10"/>
      <c r="Y144" s="249"/>
      <c r="Z144" s="10"/>
      <c r="AA144" s="10"/>
      <c r="AB144" s="10"/>
      <c r="AC144" s="10"/>
      <c r="AD144" s="10"/>
      <c r="AE144" s="10"/>
      <c r="AF144" s="10"/>
      <c r="AG144" s="10"/>
      <c r="AH144" s="10"/>
      <c r="AI144" s="10"/>
      <c r="AJ144" s="10"/>
      <c r="AK144" s="10"/>
      <c r="AL144" s="10"/>
      <c r="AM144" s="10"/>
    </row>
    <row r="145" spans="2:39">
      <c r="B145" s="4"/>
      <c r="C145" s="4"/>
      <c r="E145" s="154"/>
      <c r="F145" s="4"/>
      <c r="G145" s="10"/>
      <c r="H145" s="10"/>
      <c r="I145" s="10"/>
      <c r="J145" s="10"/>
      <c r="K145" s="10"/>
      <c r="L145" s="10"/>
      <c r="M145" s="10"/>
      <c r="N145" s="10"/>
      <c r="O145" s="246"/>
      <c r="P145" s="10"/>
      <c r="Q145" s="10"/>
      <c r="R145" s="10"/>
      <c r="S145" s="10"/>
      <c r="T145" s="246"/>
      <c r="U145" s="10"/>
      <c r="V145" s="10"/>
      <c r="W145" s="10"/>
      <c r="X145" s="10"/>
      <c r="Y145" s="249"/>
      <c r="Z145" s="10"/>
      <c r="AA145" s="10"/>
      <c r="AB145" s="10"/>
      <c r="AC145" s="10"/>
      <c r="AD145" s="10"/>
      <c r="AE145" s="10"/>
      <c r="AF145" s="10"/>
      <c r="AG145" s="10"/>
      <c r="AH145" s="10"/>
      <c r="AI145" s="10"/>
      <c r="AJ145" s="10"/>
      <c r="AK145" s="10"/>
      <c r="AL145" s="10"/>
      <c r="AM145" s="10"/>
    </row>
    <row r="146" spans="2:39">
      <c r="B146" s="4"/>
      <c r="C146" s="4"/>
      <c r="E146" s="154"/>
      <c r="F146" s="4"/>
      <c r="G146" s="10"/>
      <c r="H146" s="10"/>
      <c r="I146" s="10"/>
      <c r="J146" s="10"/>
      <c r="K146" s="10"/>
      <c r="L146" s="10"/>
      <c r="M146" s="10"/>
      <c r="N146" s="10"/>
      <c r="O146" s="246"/>
      <c r="P146" s="10"/>
      <c r="Q146" s="10"/>
      <c r="R146" s="10"/>
      <c r="S146" s="10"/>
      <c r="T146" s="246"/>
      <c r="U146" s="10"/>
      <c r="V146" s="10"/>
      <c r="W146" s="10"/>
      <c r="X146" s="10"/>
      <c r="Y146" s="249"/>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B4:AH253"/>
  <sheetViews>
    <sheetView topLeftCell="K25" workbookViewId="0">
      <selection activeCell="G17" sqref="G17"/>
    </sheetView>
  </sheetViews>
  <sheetFormatPr defaultColWidth="8.88671875" defaultRowHeight="14.4"/>
  <cols>
    <col min="1" max="16384" width="8.88671875" style="4"/>
  </cols>
  <sheetData>
    <row r="4" spans="2:34">
      <c r="T4" s="4" t="str">
        <f>T5&amp;T6</f>
        <v>basehhd-le</v>
      </c>
      <c r="U4" s="4" t="str">
        <f t="shared" ref="U4:AH4" si="0">U5&amp;U6</f>
        <v>basehhd-me</v>
      </c>
      <c r="V4" s="4" t="str">
        <f t="shared" si="0"/>
        <v>basehhd-he</v>
      </c>
      <c r="W4" s="4" t="str">
        <f t="shared" si="0"/>
        <v>sim1hhd-le</v>
      </c>
      <c r="X4" s="4" t="str">
        <f t="shared" si="0"/>
        <v>sim1hhd-me</v>
      </c>
      <c r="Y4" s="4" t="str">
        <f t="shared" si="0"/>
        <v>sim1hhd-he</v>
      </c>
      <c r="Z4" s="4" t="str">
        <f t="shared" si="0"/>
        <v>sim2hhd-le</v>
      </c>
      <c r="AA4" s="4" t="str">
        <f t="shared" si="0"/>
        <v>sim2hhd-me</v>
      </c>
      <c r="AB4" s="4" t="str">
        <f t="shared" si="0"/>
        <v>sim2hhd-he</v>
      </c>
      <c r="AC4" s="4" t="str">
        <f t="shared" si="0"/>
        <v>sim3hhd-le</v>
      </c>
      <c r="AD4" s="4" t="str">
        <f t="shared" si="0"/>
        <v>sim3hhd-me</v>
      </c>
      <c r="AE4" s="4" t="str">
        <f t="shared" si="0"/>
        <v>sim3hhd-he</v>
      </c>
      <c r="AF4" s="4" t="str">
        <f t="shared" si="0"/>
        <v>sim4hhd-le</v>
      </c>
      <c r="AG4" s="4" t="str">
        <f t="shared" si="0"/>
        <v>sim4hhd-me</v>
      </c>
      <c r="AH4" s="4" t="str">
        <f t="shared" si="0"/>
        <v>sim4hhd-he</v>
      </c>
    </row>
    <row r="5" spans="2:34">
      <c r="B5" s="4" t="s">
        <v>302</v>
      </c>
      <c r="D5" s="36" t="s">
        <v>272</v>
      </c>
      <c r="E5" s="36" t="s">
        <v>272</v>
      </c>
      <c r="F5" s="36" t="s">
        <v>272</v>
      </c>
      <c r="G5" s="36" t="s">
        <v>273</v>
      </c>
      <c r="H5" s="36" t="s">
        <v>273</v>
      </c>
      <c r="I5" s="36" t="s">
        <v>273</v>
      </c>
      <c r="J5" s="36" t="s">
        <v>275</v>
      </c>
      <c r="K5" s="36" t="s">
        <v>275</v>
      </c>
      <c r="L5" s="36" t="s">
        <v>275</v>
      </c>
      <c r="M5" s="36" t="s">
        <v>277</v>
      </c>
      <c r="N5" s="36" t="s">
        <v>277</v>
      </c>
      <c r="O5" s="36" t="s">
        <v>277</v>
      </c>
      <c r="P5" s="36" t="s">
        <v>279</v>
      </c>
      <c r="Q5" s="36" t="s">
        <v>279</v>
      </c>
      <c r="R5" s="36" t="s">
        <v>279</v>
      </c>
      <c r="T5" s="4" t="str">
        <f>D5</f>
        <v>base</v>
      </c>
      <c r="U5" s="4" t="str">
        <f t="shared" ref="U5:AH6" si="1">E5</f>
        <v>base</v>
      </c>
      <c r="V5" s="4" t="str">
        <f t="shared" si="1"/>
        <v>base</v>
      </c>
      <c r="W5" s="4" t="str">
        <f t="shared" si="1"/>
        <v>sim1</v>
      </c>
      <c r="X5" s="4" t="str">
        <f t="shared" si="1"/>
        <v>sim1</v>
      </c>
      <c r="Y5" s="4" t="str">
        <f t="shared" si="1"/>
        <v>sim1</v>
      </c>
      <c r="Z5" s="4" t="str">
        <f t="shared" si="1"/>
        <v>sim2</v>
      </c>
      <c r="AA5" s="4" t="str">
        <f t="shared" si="1"/>
        <v>sim2</v>
      </c>
      <c r="AB5" s="4" t="str">
        <f t="shared" si="1"/>
        <v>sim2</v>
      </c>
      <c r="AC5" s="4" t="str">
        <f t="shared" si="1"/>
        <v>sim3</v>
      </c>
      <c r="AD5" s="4" t="str">
        <f t="shared" si="1"/>
        <v>sim3</v>
      </c>
      <c r="AE5" s="4" t="str">
        <f t="shared" si="1"/>
        <v>sim3</v>
      </c>
      <c r="AF5" s="4" t="str">
        <f t="shared" si="1"/>
        <v>sim4</v>
      </c>
      <c r="AG5" s="4" t="str">
        <f t="shared" si="1"/>
        <v>sim4</v>
      </c>
      <c r="AH5" s="4" t="str">
        <f t="shared" si="1"/>
        <v>sim4</v>
      </c>
    </row>
    <row r="6" spans="2:34">
      <c r="C6" s="36"/>
      <c r="D6" s="36" t="s">
        <v>282</v>
      </c>
      <c r="E6" s="36" t="s">
        <v>283</v>
      </c>
      <c r="F6" s="36" t="s">
        <v>284</v>
      </c>
      <c r="G6" s="36" t="s">
        <v>282</v>
      </c>
      <c r="H6" s="36" t="s">
        <v>283</v>
      </c>
      <c r="I6" s="36" t="s">
        <v>284</v>
      </c>
      <c r="J6" s="36" t="s">
        <v>282</v>
      </c>
      <c r="K6" s="36" t="s">
        <v>283</v>
      </c>
      <c r="L6" s="36" t="s">
        <v>284</v>
      </c>
      <c r="M6" s="36" t="s">
        <v>282</v>
      </c>
      <c r="N6" s="36" t="s">
        <v>283</v>
      </c>
      <c r="O6" s="36" t="s">
        <v>284</v>
      </c>
      <c r="P6" s="36" t="s">
        <v>282</v>
      </c>
      <c r="Q6" s="36" t="s">
        <v>283</v>
      </c>
      <c r="R6" s="36" t="s">
        <v>284</v>
      </c>
      <c r="T6" s="4" t="str">
        <f>D6</f>
        <v>hhd-le</v>
      </c>
      <c r="U6" s="4" t="str">
        <f t="shared" si="1"/>
        <v>hhd-me</v>
      </c>
      <c r="V6" s="4" t="str">
        <f t="shared" si="1"/>
        <v>hhd-he</v>
      </c>
      <c r="W6" s="4" t="str">
        <f t="shared" si="1"/>
        <v>hhd-le</v>
      </c>
      <c r="X6" s="4" t="str">
        <f t="shared" si="1"/>
        <v>hhd-me</v>
      </c>
      <c r="Y6" s="4" t="str">
        <f t="shared" si="1"/>
        <v>hhd-he</v>
      </c>
      <c r="Z6" s="4" t="str">
        <f t="shared" si="1"/>
        <v>hhd-le</v>
      </c>
      <c r="AA6" s="4" t="str">
        <f t="shared" si="1"/>
        <v>hhd-me</v>
      </c>
      <c r="AB6" s="4" t="str">
        <f t="shared" si="1"/>
        <v>hhd-he</v>
      </c>
      <c r="AC6" s="4" t="str">
        <f t="shared" si="1"/>
        <v>hhd-le</v>
      </c>
      <c r="AD6" s="4" t="str">
        <f t="shared" si="1"/>
        <v>hhd-me</v>
      </c>
      <c r="AE6" s="4" t="str">
        <f t="shared" si="1"/>
        <v>hhd-he</v>
      </c>
      <c r="AF6" s="4" t="str">
        <f t="shared" si="1"/>
        <v>hhd-le</v>
      </c>
      <c r="AG6" s="4" t="str">
        <f t="shared" si="1"/>
        <v>hhd-me</v>
      </c>
      <c r="AH6" s="4" t="str">
        <f t="shared" si="1"/>
        <v>hhd-he</v>
      </c>
    </row>
    <row r="7" spans="2:34">
      <c r="C7" s="36">
        <v>2007</v>
      </c>
      <c r="D7" s="4">
        <v>23440</v>
      </c>
      <c r="E7" s="4">
        <v>14064</v>
      </c>
      <c r="F7" s="4">
        <v>9373</v>
      </c>
      <c r="G7" s="4">
        <v>23440</v>
      </c>
      <c r="H7" s="4">
        <v>14064</v>
      </c>
      <c r="I7" s="4">
        <v>9373</v>
      </c>
      <c r="J7" s="4">
        <v>23440</v>
      </c>
      <c r="K7" s="4">
        <v>14064</v>
      </c>
      <c r="L7" s="4">
        <v>9373</v>
      </c>
      <c r="M7" s="4">
        <v>23440</v>
      </c>
      <c r="N7" s="4">
        <v>14064</v>
      </c>
      <c r="O7" s="4">
        <v>9373</v>
      </c>
      <c r="P7" s="4">
        <v>23440</v>
      </c>
      <c r="Q7" s="4">
        <v>14064</v>
      </c>
      <c r="R7" s="4">
        <v>9373</v>
      </c>
      <c r="T7" s="4">
        <f>D7/SUM($D7:$F7)</f>
        <v>0.50003199863472492</v>
      </c>
      <c r="U7" s="4">
        <f t="shared" ref="U7:AH22" si="2">E7/SUM($D7:$F7)</f>
        <v>0.30001919918083497</v>
      </c>
      <c r="V7" s="4">
        <f t="shared" si="2"/>
        <v>0.19994880218444014</v>
      </c>
      <c r="W7" s="4">
        <f t="shared" si="2"/>
        <v>0.50003199863472492</v>
      </c>
      <c r="X7" s="4">
        <f t="shared" si="2"/>
        <v>0.30001919918083497</v>
      </c>
      <c r="Y7" s="4">
        <f t="shared" si="2"/>
        <v>0.19994880218444014</v>
      </c>
      <c r="Z7" s="4">
        <f t="shared" si="2"/>
        <v>0.50003199863472492</v>
      </c>
      <c r="AA7" s="4">
        <f t="shared" si="2"/>
        <v>0.30001919918083497</v>
      </c>
      <c r="AB7" s="4">
        <f t="shared" si="2"/>
        <v>0.19994880218444014</v>
      </c>
      <c r="AC7" s="4">
        <f t="shared" si="2"/>
        <v>0.50003199863472492</v>
      </c>
      <c r="AD7" s="4">
        <f t="shared" si="2"/>
        <v>0.30001919918083497</v>
      </c>
      <c r="AE7" s="4">
        <f t="shared" si="2"/>
        <v>0.19994880218444014</v>
      </c>
      <c r="AF7" s="4">
        <f t="shared" si="2"/>
        <v>0.50003199863472492</v>
      </c>
      <c r="AG7" s="4">
        <f t="shared" si="2"/>
        <v>0.30001919918083497</v>
      </c>
      <c r="AH7" s="4">
        <f t="shared" si="2"/>
        <v>0.19994880218444014</v>
      </c>
    </row>
    <row r="8" spans="2:34">
      <c r="C8" s="36">
        <f>C7+1</f>
        <v>2008</v>
      </c>
      <c r="D8" s="4">
        <v>23238.739452022914</v>
      </c>
      <c r="E8" s="4">
        <v>14322.773398007585</v>
      </c>
      <c r="F8" s="4">
        <v>9784.2571499695059</v>
      </c>
      <c r="G8" s="4">
        <v>23238.73945204787</v>
      </c>
      <c r="H8" s="4">
        <v>14322.773398008887</v>
      </c>
      <c r="I8" s="4">
        <v>9784.257149943247</v>
      </c>
      <c r="J8" s="4">
        <v>23238.739452042555</v>
      </c>
      <c r="K8" s="4">
        <v>14322.773398012727</v>
      </c>
      <c r="L8" s="4">
        <v>9784.2571499447222</v>
      </c>
      <c r="M8" s="4">
        <v>23238.739452047343</v>
      </c>
      <c r="N8" s="4">
        <v>14322.773398008838</v>
      </c>
      <c r="O8" s="4">
        <v>9784.2571499438236</v>
      </c>
      <c r="P8" s="4">
        <v>23238.739454775583</v>
      </c>
      <c r="Q8" s="4">
        <v>14322.773397896719</v>
      </c>
      <c r="R8" s="4">
        <v>9784.2571473277021</v>
      </c>
      <c r="T8" s="4">
        <f t="shared" ref="T8:AH38" si="3">D8/SUM($D8:$F8)</f>
        <v>0.49083032025929479</v>
      </c>
      <c r="U8" s="4">
        <f t="shared" si="2"/>
        <v>0.3025143196109723</v>
      </c>
      <c r="V8" s="4">
        <f t="shared" si="2"/>
        <v>0.20665536012973293</v>
      </c>
      <c r="W8" s="4">
        <f t="shared" si="2"/>
        <v>0.49083032025982193</v>
      </c>
      <c r="X8" s="4">
        <f t="shared" si="2"/>
        <v>0.30251431961099978</v>
      </c>
      <c r="Y8" s="4">
        <f t="shared" si="2"/>
        <v>0.20665536012917829</v>
      </c>
      <c r="Z8" s="4">
        <f t="shared" si="2"/>
        <v>0.49083032025970963</v>
      </c>
      <c r="AA8" s="4">
        <f t="shared" si="2"/>
        <v>0.30251431961108088</v>
      </c>
      <c r="AB8" s="4">
        <f t="shared" si="2"/>
        <v>0.20665536012920946</v>
      </c>
      <c r="AC8" s="4">
        <f t="shared" si="2"/>
        <v>0.49083032025981077</v>
      </c>
      <c r="AD8" s="4">
        <f t="shared" si="2"/>
        <v>0.30251431961099878</v>
      </c>
      <c r="AE8" s="4">
        <f t="shared" si="2"/>
        <v>0.20665536012919047</v>
      </c>
      <c r="AF8" s="4">
        <f t="shared" si="2"/>
        <v>0.49083032031743451</v>
      </c>
      <c r="AG8" s="4">
        <f t="shared" si="2"/>
        <v>0.30251431960863068</v>
      </c>
      <c r="AH8" s="4">
        <f t="shared" si="2"/>
        <v>0.20665536007393481</v>
      </c>
    </row>
    <row r="9" spans="2:34">
      <c r="C9" s="36">
        <f t="shared" ref="C9:C40" si="4">C8+1</f>
        <v>2009</v>
      </c>
      <c r="D9" s="4">
        <v>22990.96901194366</v>
      </c>
      <c r="E9" s="4">
        <v>14587.432610780306</v>
      </c>
      <c r="F9" s="4">
        <v>10240.82607727603</v>
      </c>
      <c r="G9" s="4">
        <v>22989.902733760267</v>
      </c>
      <c r="H9" s="4">
        <v>14587.39192534303</v>
      </c>
      <c r="I9" s="4">
        <v>10241.9330408967</v>
      </c>
      <c r="J9" s="4">
        <v>22989.293104250923</v>
      </c>
      <c r="K9" s="4">
        <v>14587.3687343374</v>
      </c>
      <c r="L9" s="4">
        <v>10242.565861411676</v>
      </c>
      <c r="M9" s="4">
        <v>22990.755230783878</v>
      </c>
      <c r="N9" s="4">
        <v>14587.42444502195</v>
      </c>
      <c r="O9" s="4">
        <v>10241.04802419417</v>
      </c>
      <c r="P9" s="4">
        <v>22989.737518873542</v>
      </c>
      <c r="Q9" s="4">
        <v>14587.385634821861</v>
      </c>
      <c r="R9" s="4">
        <v>10242.104546304594</v>
      </c>
      <c r="T9" s="4">
        <f t="shared" si="3"/>
        <v>0.48078921634160282</v>
      </c>
      <c r="U9" s="4">
        <f t="shared" si="2"/>
        <v>0.3050537056410953</v>
      </c>
      <c r="V9" s="4">
        <f t="shared" si="2"/>
        <v>0.21415707801730208</v>
      </c>
      <c r="W9" s="4">
        <f t="shared" si="2"/>
        <v>0.48076691823611933</v>
      </c>
      <c r="X9" s="4">
        <f t="shared" si="2"/>
        <v>0.30505285482356365</v>
      </c>
      <c r="Y9" s="4">
        <f t="shared" si="2"/>
        <v>0.21418022694031719</v>
      </c>
      <c r="Z9" s="4">
        <f t="shared" si="2"/>
        <v>0.48075416960886902</v>
      </c>
      <c r="AA9" s="4">
        <f t="shared" si="2"/>
        <v>0.30505236985116352</v>
      </c>
      <c r="AB9" s="4">
        <f t="shared" si="2"/>
        <v>0.21419346053996766</v>
      </c>
      <c r="AC9" s="4">
        <f t="shared" si="2"/>
        <v>0.48078474573071961</v>
      </c>
      <c r="AD9" s="4">
        <f t="shared" si="2"/>
        <v>0.3050535348780205</v>
      </c>
      <c r="AE9" s="4">
        <f t="shared" si="2"/>
        <v>0.21416171939126011</v>
      </c>
      <c r="AF9" s="4">
        <f t="shared" si="2"/>
        <v>0.48076346324751595</v>
      </c>
      <c r="AG9" s="4">
        <f t="shared" si="2"/>
        <v>0.30505272327561794</v>
      </c>
      <c r="AH9" s="4">
        <f t="shared" si="2"/>
        <v>0.21418381347686627</v>
      </c>
    </row>
    <row r="10" spans="2:34">
      <c r="C10" s="36">
        <f t="shared" si="4"/>
        <v>2010</v>
      </c>
      <c r="D10" s="4">
        <v>22818.501046224301</v>
      </c>
      <c r="E10" s="4">
        <v>14853.960039544188</v>
      </c>
      <c r="F10" s="4">
        <v>10624.958891231512</v>
      </c>
      <c r="G10" s="4">
        <v>22816.00492666808</v>
      </c>
      <c r="H10" s="4">
        <v>14854.138739784868</v>
      </c>
      <c r="I10" s="4">
        <v>10627.276310547049</v>
      </c>
      <c r="J10" s="4">
        <v>22814.591639983908</v>
      </c>
      <c r="K10" s="4">
        <v>14854.24174937663</v>
      </c>
      <c r="L10" s="4">
        <v>10628.586587639458</v>
      </c>
      <c r="M10" s="4">
        <v>22817.998219021876</v>
      </c>
      <c r="N10" s="4">
        <v>14853.995718868398</v>
      </c>
      <c r="O10" s="4">
        <v>10625.426039109727</v>
      </c>
      <c r="P10" s="4">
        <v>22815.620913062925</v>
      </c>
      <c r="Q10" s="4">
        <v>14854.166596144014</v>
      </c>
      <c r="R10" s="4">
        <v>10627.632467793061</v>
      </c>
      <c r="T10" s="4">
        <f t="shared" si="3"/>
        <v>0.47245797098666625</v>
      </c>
      <c r="U10" s="4">
        <f t="shared" si="2"/>
        <v>0.30755183292643545</v>
      </c>
      <c r="V10" s="4">
        <f t="shared" si="2"/>
        <v>0.21999019608689838</v>
      </c>
      <c r="W10" s="4">
        <f t="shared" si="2"/>
        <v>0.47240628873205703</v>
      </c>
      <c r="X10" s="4">
        <f t="shared" si="2"/>
        <v>0.30755553292202042</v>
      </c>
      <c r="Y10" s="4">
        <f t="shared" si="2"/>
        <v>0.22003817834592257</v>
      </c>
      <c r="Z10" s="4">
        <f t="shared" si="2"/>
        <v>0.47237702657509617</v>
      </c>
      <c r="AA10" s="4">
        <f t="shared" si="2"/>
        <v>0.30755766573971149</v>
      </c>
      <c r="AB10" s="4">
        <f t="shared" si="2"/>
        <v>0.22006530768519231</v>
      </c>
      <c r="AC10" s="4">
        <f t="shared" si="2"/>
        <v>0.47244755992945731</v>
      </c>
      <c r="AD10" s="4">
        <f t="shared" si="2"/>
        <v>0.30755257166826111</v>
      </c>
      <c r="AE10" s="4">
        <f t="shared" si="2"/>
        <v>0.21999986840228161</v>
      </c>
      <c r="AF10" s="4">
        <f t="shared" si="2"/>
        <v>0.47239833771510131</v>
      </c>
      <c r="AG10" s="4">
        <f t="shared" si="2"/>
        <v>0.30755610968904351</v>
      </c>
      <c r="AH10" s="4">
        <f t="shared" si="2"/>
        <v>0.2200455525958552</v>
      </c>
    </row>
    <row r="11" spans="2:34">
      <c r="C11" s="36">
        <f t="shared" si="4"/>
        <v>2011</v>
      </c>
      <c r="D11" s="4">
        <v>22666.446521466212</v>
      </c>
      <c r="E11" s="4">
        <v>15111.552958936696</v>
      </c>
      <c r="F11" s="4">
        <v>11002.394696367093</v>
      </c>
      <c r="G11" s="4">
        <v>22662.518064749795</v>
      </c>
      <c r="H11" s="4">
        <v>15111.975792964011</v>
      </c>
      <c r="I11" s="4">
        <v>11005.900319056194</v>
      </c>
      <c r="J11" s="4">
        <v>22660.303179497008</v>
      </c>
      <c r="K11" s="4">
        <v>15112.215500099221</v>
      </c>
      <c r="L11" s="4">
        <v>11007.875497173773</v>
      </c>
      <c r="M11" s="4">
        <v>22665.653460155623</v>
      </c>
      <c r="N11" s="4">
        <v>15111.638076567384</v>
      </c>
      <c r="O11" s="4">
        <v>11003.102640046995</v>
      </c>
      <c r="P11" s="4">
        <v>22661.915575345483</v>
      </c>
      <c r="Q11" s="4">
        <v>15112.040904936641</v>
      </c>
      <c r="R11" s="4">
        <v>11006.437696487879</v>
      </c>
      <c r="T11" s="4">
        <f t="shared" si="3"/>
        <v>0.46466304555325494</v>
      </c>
      <c r="U11" s="4">
        <f t="shared" si="2"/>
        <v>0.30978743025682759</v>
      </c>
      <c r="V11" s="4">
        <f t="shared" si="2"/>
        <v>0.22554952418991744</v>
      </c>
      <c r="W11" s="4">
        <f t="shared" si="2"/>
        <v>0.46458251203599427</v>
      </c>
      <c r="X11" s="4">
        <f t="shared" si="2"/>
        <v>0.30979609837102495</v>
      </c>
      <c r="Y11" s="4">
        <f t="shared" si="2"/>
        <v>0.22562138959298075</v>
      </c>
      <c r="Z11" s="4">
        <f t="shared" si="2"/>
        <v>0.46453710680116245</v>
      </c>
      <c r="AA11" s="4">
        <f t="shared" si="2"/>
        <v>0.30980101237672858</v>
      </c>
      <c r="AB11" s="4">
        <f t="shared" si="2"/>
        <v>0.225661880822109</v>
      </c>
      <c r="AC11" s="4">
        <f t="shared" si="2"/>
        <v>0.46464678776518309</v>
      </c>
      <c r="AD11" s="4">
        <f t="shared" si="2"/>
        <v>0.30978917517160587</v>
      </c>
      <c r="AE11" s="4">
        <f t="shared" si="2"/>
        <v>0.22556403706321107</v>
      </c>
      <c r="AF11" s="4">
        <f t="shared" si="2"/>
        <v>0.4645701609794996</v>
      </c>
      <c r="AG11" s="4">
        <f t="shared" si="2"/>
        <v>0.3097974331690258</v>
      </c>
      <c r="AH11" s="4">
        <f t="shared" si="2"/>
        <v>0.22563240585147465</v>
      </c>
    </row>
    <row r="12" spans="2:34">
      <c r="C12" s="36">
        <f t="shared" si="4"/>
        <v>2012</v>
      </c>
      <c r="D12" s="4">
        <v>22558.143265725677</v>
      </c>
      <c r="E12" s="4">
        <v>15370.161195232262</v>
      </c>
      <c r="F12" s="4">
        <v>11339.89365757976</v>
      </c>
      <c r="G12" s="4">
        <v>22552.640988902684</v>
      </c>
      <c r="H12" s="4">
        <v>15370.819722944132</v>
      </c>
      <c r="I12" s="4">
        <v>11344.737406690883</v>
      </c>
      <c r="J12" s="4">
        <v>22550.900596045049</v>
      </c>
      <c r="K12" s="4">
        <v>15371.191483917946</v>
      </c>
      <c r="L12" s="4">
        <v>11346.106038574706</v>
      </c>
      <c r="M12" s="4">
        <v>22558.38881113859</v>
      </c>
      <c r="N12" s="4">
        <v>15370.294075547517</v>
      </c>
      <c r="O12" s="4">
        <v>11339.515231851594</v>
      </c>
      <c r="P12" s="4">
        <v>22551.798153517764</v>
      </c>
      <c r="Q12" s="4">
        <v>15370.920810985892</v>
      </c>
      <c r="R12" s="4">
        <v>11345.47915403405</v>
      </c>
      <c r="T12" s="4">
        <f t="shared" si="3"/>
        <v>0.45786418272191554</v>
      </c>
      <c r="U12" s="4">
        <f t="shared" si="2"/>
        <v>0.31196921710536585</v>
      </c>
      <c r="V12" s="4">
        <f t="shared" si="2"/>
        <v>0.23016660017271875</v>
      </c>
      <c r="W12" s="4">
        <f t="shared" si="2"/>
        <v>0.45775250263144918</v>
      </c>
      <c r="X12" s="4">
        <f t="shared" si="2"/>
        <v>0.31198258328754863</v>
      </c>
      <c r="Y12" s="4">
        <f t="shared" si="2"/>
        <v>0.23026491408100233</v>
      </c>
      <c r="Z12" s="4">
        <f t="shared" si="2"/>
        <v>0.45771717775812115</v>
      </c>
      <c r="AA12" s="4">
        <f t="shared" si="2"/>
        <v>0.3119901289455595</v>
      </c>
      <c r="AB12" s="4">
        <f t="shared" si="2"/>
        <v>0.23029269329631949</v>
      </c>
      <c r="AC12" s="4">
        <f t="shared" si="2"/>
        <v>0.45786916657402071</v>
      </c>
      <c r="AD12" s="4">
        <f t="shared" si="2"/>
        <v>0.3119719141862482</v>
      </c>
      <c r="AE12" s="4">
        <f t="shared" si="2"/>
        <v>0.2301589192397312</v>
      </c>
      <c r="AF12" s="4">
        <f t="shared" si="2"/>
        <v>0.45773539554377179</v>
      </c>
      <c r="AG12" s="4">
        <f t="shared" si="2"/>
        <v>0.31198463507847302</v>
      </c>
      <c r="AH12" s="4">
        <f t="shared" si="2"/>
        <v>0.23027996937775547</v>
      </c>
    </row>
    <row r="13" spans="2:34">
      <c r="C13" s="36">
        <f t="shared" si="4"/>
        <v>2013</v>
      </c>
      <c r="D13" s="4">
        <v>22510.358189649542</v>
      </c>
      <c r="E13" s="4">
        <v>15621.159609011707</v>
      </c>
      <c r="F13" s="4">
        <v>11629.36230106183</v>
      </c>
      <c r="G13" s="4">
        <v>22503.406452152438</v>
      </c>
      <c r="H13" s="4">
        <v>15622.097196414637</v>
      </c>
      <c r="I13" s="4">
        <v>11635.376451156004</v>
      </c>
      <c r="J13" s="4">
        <v>22499.876779066246</v>
      </c>
      <c r="K13" s="4">
        <v>15622.315054427272</v>
      </c>
      <c r="L13" s="4">
        <v>11638.688266229567</v>
      </c>
      <c r="M13" s="4">
        <v>22509.333563851731</v>
      </c>
      <c r="N13" s="4">
        <v>15621.038421705158</v>
      </c>
      <c r="O13" s="4">
        <v>11630.508114166192</v>
      </c>
      <c r="P13" s="4">
        <v>22502.34203136912</v>
      </c>
      <c r="Q13" s="4">
        <v>15622.240911130652</v>
      </c>
      <c r="R13" s="4">
        <v>11636.297157223309</v>
      </c>
      <c r="T13" s="4">
        <f t="shared" si="3"/>
        <v>0.45237057995231905</v>
      </c>
      <c r="U13" s="4">
        <f t="shared" si="2"/>
        <v>0.3139245041025438</v>
      </c>
      <c r="V13" s="4">
        <f t="shared" si="2"/>
        <v>0.23370491594513715</v>
      </c>
      <c r="W13" s="4">
        <f t="shared" si="2"/>
        <v>0.45223087708767573</v>
      </c>
      <c r="X13" s="4">
        <f t="shared" si="2"/>
        <v>0.31394334595986323</v>
      </c>
      <c r="Y13" s="4">
        <f t="shared" si="2"/>
        <v>0.23382577695246098</v>
      </c>
      <c r="Z13" s="4">
        <f t="shared" si="2"/>
        <v>0.45215994439759633</v>
      </c>
      <c r="AA13" s="4">
        <f t="shared" si="2"/>
        <v>0.31394772405792337</v>
      </c>
      <c r="AB13" s="4">
        <f t="shared" si="2"/>
        <v>0.23389233154448039</v>
      </c>
      <c r="AC13" s="4">
        <f t="shared" si="2"/>
        <v>0.45234998896205209</v>
      </c>
      <c r="AD13" s="4">
        <f t="shared" si="2"/>
        <v>0.31392206870939343</v>
      </c>
      <c r="AE13" s="4">
        <f t="shared" si="2"/>
        <v>0.23372794232855451</v>
      </c>
      <c r="AF13" s="4">
        <f t="shared" si="2"/>
        <v>0.45220948637309866</v>
      </c>
      <c r="AG13" s="4">
        <f t="shared" si="2"/>
        <v>0.31394623406625782</v>
      </c>
      <c r="AH13" s="4">
        <f t="shared" si="2"/>
        <v>0.23384427956064358</v>
      </c>
    </row>
    <row r="14" spans="2:34">
      <c r="C14" s="36">
        <f t="shared" si="4"/>
        <v>2014</v>
      </c>
      <c r="D14" s="4">
        <v>22487.711099124805</v>
      </c>
      <c r="E14" s="4">
        <v>15862.752607278231</v>
      </c>
      <c r="F14" s="4">
        <v>11908.025194317277</v>
      </c>
      <c r="G14" s="4">
        <v>22001.513472724993</v>
      </c>
      <c r="H14" s="4">
        <v>15867.952374556036</v>
      </c>
      <c r="I14" s="4">
        <v>12389.023053439278</v>
      </c>
      <c r="J14" s="4">
        <v>21833.120823909641</v>
      </c>
      <c r="K14" s="4">
        <v>15873.100505351611</v>
      </c>
      <c r="L14" s="4">
        <v>12552.267571459059</v>
      </c>
      <c r="M14" s="4">
        <v>22273.959068373955</v>
      </c>
      <c r="N14" s="4">
        <v>15864.184923251833</v>
      </c>
      <c r="O14" s="4">
        <v>12120.344909094525</v>
      </c>
      <c r="P14" s="4">
        <v>21873.37780974905</v>
      </c>
      <c r="Q14" s="4">
        <v>15872.070163291701</v>
      </c>
      <c r="R14" s="4">
        <v>12513.040927679564</v>
      </c>
      <c r="T14" s="4">
        <f t="shared" si="3"/>
        <v>0.4474410510739113</v>
      </c>
      <c r="U14" s="4">
        <f t="shared" si="2"/>
        <v>0.31562334949252491</v>
      </c>
      <c r="V14" s="4">
        <f t="shared" si="2"/>
        <v>0.23693559943356371</v>
      </c>
      <c r="W14" s="4">
        <f t="shared" si="2"/>
        <v>0.43776711067032625</v>
      </c>
      <c r="X14" s="4">
        <f t="shared" si="2"/>
        <v>0.31572680997037722</v>
      </c>
      <c r="Y14" s="4">
        <f t="shared" si="2"/>
        <v>0.24650607935929636</v>
      </c>
      <c r="Z14" s="4">
        <f t="shared" si="2"/>
        <v>0.43441657919796162</v>
      </c>
      <c r="AA14" s="4">
        <f t="shared" si="2"/>
        <v>0.31582924303010856</v>
      </c>
      <c r="AB14" s="4">
        <f t="shared" si="2"/>
        <v>0.24975417777192971</v>
      </c>
      <c r="AC14" s="4">
        <f t="shared" si="2"/>
        <v>0.44318799780020285</v>
      </c>
      <c r="AD14" s="4">
        <f t="shared" si="2"/>
        <v>0.31565184847856542</v>
      </c>
      <c r="AE14" s="4">
        <f t="shared" si="2"/>
        <v>0.24116015372123162</v>
      </c>
      <c r="AF14" s="4">
        <f t="shared" si="2"/>
        <v>0.43521757792911986</v>
      </c>
      <c r="AG14" s="4">
        <f t="shared" si="2"/>
        <v>0.31580874217378668</v>
      </c>
      <c r="AH14" s="4">
        <f t="shared" si="2"/>
        <v>0.24897367989709343</v>
      </c>
    </row>
    <row r="15" spans="2:34">
      <c r="C15" s="36">
        <f t="shared" si="4"/>
        <v>2015</v>
      </c>
      <c r="D15" s="4">
        <v>22420.732548038424</v>
      </c>
      <c r="E15" s="4">
        <v>16099.499554846932</v>
      </c>
      <c r="F15" s="4">
        <v>12240.841686842163</v>
      </c>
      <c r="G15" s="4">
        <v>21323.369146384535</v>
      </c>
      <c r="H15" s="4">
        <v>16220.08852854424</v>
      </c>
      <c r="I15" s="4">
        <v>13217.616114798739</v>
      </c>
      <c r="J15" s="4">
        <v>20989.060842696337</v>
      </c>
      <c r="K15" s="4">
        <v>16258.351332518312</v>
      </c>
      <c r="L15" s="4">
        <v>13513.661614512868</v>
      </c>
      <c r="M15" s="4">
        <v>21942.306455969923</v>
      </c>
      <c r="N15" s="4">
        <v>16151.026001162403</v>
      </c>
      <c r="O15" s="4">
        <v>12667.741332595189</v>
      </c>
      <c r="P15" s="4">
        <v>21074.020237525885</v>
      </c>
      <c r="Q15" s="4">
        <v>16248.116752156278</v>
      </c>
      <c r="R15" s="4">
        <v>13438.936800045351</v>
      </c>
      <c r="T15" s="4">
        <f t="shared" si="3"/>
        <v>0.44169145516728003</v>
      </c>
      <c r="U15" s="4">
        <f t="shared" si="2"/>
        <v>0.31716231263226302</v>
      </c>
      <c r="V15" s="4">
        <f t="shared" si="2"/>
        <v>0.24114623220045697</v>
      </c>
      <c r="W15" s="4">
        <f t="shared" si="2"/>
        <v>0.42007324814905178</v>
      </c>
      <c r="X15" s="4">
        <f t="shared" si="2"/>
        <v>0.31953793167840133</v>
      </c>
      <c r="Y15" s="4">
        <f t="shared" si="2"/>
        <v>0.26038882017254683</v>
      </c>
      <c r="Z15" s="4">
        <f t="shared" si="2"/>
        <v>0.41348732947694022</v>
      </c>
      <c r="AA15" s="4">
        <f t="shared" si="2"/>
        <v>0.32029171407734291</v>
      </c>
      <c r="AB15" s="4">
        <f t="shared" si="2"/>
        <v>0.26622095644571686</v>
      </c>
      <c r="AC15" s="4">
        <f t="shared" si="2"/>
        <v>0.43226639662635291</v>
      </c>
      <c r="AD15" s="4">
        <f t="shared" si="2"/>
        <v>0.31817739057424893</v>
      </c>
      <c r="AE15" s="4">
        <f t="shared" si="2"/>
        <v>0.2495562127993981</v>
      </c>
      <c r="AF15" s="4">
        <f t="shared" si="2"/>
        <v>0.41516104101388451</v>
      </c>
      <c r="AG15" s="4">
        <f t="shared" si="2"/>
        <v>0.32009009146383344</v>
      </c>
      <c r="AH15" s="4">
        <f t="shared" si="2"/>
        <v>0.26474886752228199</v>
      </c>
    </row>
    <row r="16" spans="2:34">
      <c r="C16" s="36">
        <f t="shared" si="4"/>
        <v>2016</v>
      </c>
      <c r="D16" s="4">
        <v>22327.903155574313</v>
      </c>
      <c r="E16" s="4">
        <v>16348.602775512441</v>
      </c>
      <c r="F16" s="4">
        <v>12592.178596538035</v>
      </c>
      <c r="G16" s="4">
        <v>20617.552837629439</v>
      </c>
      <c r="H16" s="4">
        <v>16583.55693078108</v>
      </c>
      <c r="I16" s="4">
        <v>14067.574759214272</v>
      </c>
      <c r="J16" s="4">
        <v>20135.417340208111</v>
      </c>
      <c r="K16" s="4">
        <v>16646.058218653281</v>
      </c>
      <c r="L16" s="4">
        <v>14487.208968763403</v>
      </c>
      <c r="M16" s="4">
        <v>21578.557217298963</v>
      </c>
      <c r="N16" s="4">
        <v>16448.029751271843</v>
      </c>
      <c r="O16" s="4">
        <v>13242.097559053987</v>
      </c>
      <c r="P16" s="4">
        <v>20267.998452624837</v>
      </c>
      <c r="Q16" s="4">
        <v>16627.338555442533</v>
      </c>
      <c r="R16" s="4">
        <v>14373.347519557421</v>
      </c>
      <c r="T16" s="4">
        <f t="shared" si="3"/>
        <v>0.43550762734205728</v>
      </c>
      <c r="U16" s="4">
        <f t="shared" si="2"/>
        <v>0.3188808709672164</v>
      </c>
      <c r="V16" s="4">
        <f t="shared" si="2"/>
        <v>0.24561150169072643</v>
      </c>
      <c r="W16" s="4">
        <f t="shared" si="2"/>
        <v>0.40214710066376314</v>
      </c>
      <c r="X16" s="4">
        <f t="shared" si="2"/>
        <v>0.32346367150975885</v>
      </c>
      <c r="Y16" s="4">
        <f t="shared" si="2"/>
        <v>0.27438922782647818</v>
      </c>
      <c r="Z16" s="4">
        <f t="shared" si="2"/>
        <v>0.39274300727101102</v>
      </c>
      <c r="AA16" s="4">
        <f t="shared" si="2"/>
        <v>0.32468276438191018</v>
      </c>
      <c r="AB16" s="4">
        <f t="shared" si="2"/>
        <v>0.28257422834707902</v>
      </c>
      <c r="AC16" s="4">
        <f t="shared" si="2"/>
        <v>0.42089157184581016</v>
      </c>
      <c r="AD16" s="4">
        <f t="shared" si="2"/>
        <v>0.32082020248460352</v>
      </c>
      <c r="AE16" s="4">
        <f t="shared" si="2"/>
        <v>0.25828822566958648</v>
      </c>
      <c r="AF16" s="4">
        <f t="shared" si="2"/>
        <v>0.39532901300995854</v>
      </c>
      <c r="AG16" s="4">
        <f t="shared" si="2"/>
        <v>0.32431763577790512</v>
      </c>
      <c r="AH16" s="4">
        <f t="shared" si="2"/>
        <v>0.2803533512121365</v>
      </c>
    </row>
    <row r="17" spans="3:34">
      <c r="C17" s="36">
        <f t="shared" si="4"/>
        <v>2017</v>
      </c>
      <c r="D17" s="4">
        <v>22223.269874302146</v>
      </c>
      <c r="E17" s="4">
        <v>16600.764576497004</v>
      </c>
      <c r="F17" s="4">
        <v>12957.336922101887</v>
      </c>
      <c r="G17" s="4">
        <v>19906.459495104566</v>
      </c>
      <c r="H17" s="4">
        <v>16948.300467000299</v>
      </c>
      <c r="I17" s="4">
        <v>14926.611410796171</v>
      </c>
      <c r="J17" s="4">
        <v>19287.310857156714</v>
      </c>
      <c r="K17" s="4">
        <v>17031.751879197476</v>
      </c>
      <c r="L17" s="4">
        <v>15462.308636546844</v>
      </c>
      <c r="M17" s="4">
        <v>21202.434446102205</v>
      </c>
      <c r="N17" s="4">
        <v>16748.938847785543</v>
      </c>
      <c r="O17" s="4">
        <v>13829.998079013285</v>
      </c>
      <c r="P17" s="4">
        <v>19465.178744126282</v>
      </c>
      <c r="Q17" s="4">
        <v>17003.586623982075</v>
      </c>
      <c r="R17" s="4">
        <v>15312.606004792677</v>
      </c>
      <c r="T17" s="4">
        <f t="shared" si="3"/>
        <v>0.4291749964338013</v>
      </c>
      <c r="U17" s="4">
        <f t="shared" si="2"/>
        <v>0.32059337434204671</v>
      </c>
      <c r="V17" s="4">
        <f t="shared" si="2"/>
        <v>0.25023162922415193</v>
      </c>
      <c r="W17" s="4">
        <f t="shared" si="2"/>
        <v>0.38443283689319774</v>
      </c>
      <c r="X17" s="4">
        <f t="shared" si="2"/>
        <v>0.32730497508356687</v>
      </c>
      <c r="Y17" s="4">
        <f t="shared" si="2"/>
        <v>0.28826218802323522</v>
      </c>
      <c r="Z17" s="4">
        <f t="shared" si="2"/>
        <v>0.37247586044525699</v>
      </c>
      <c r="AA17" s="4">
        <f t="shared" si="2"/>
        <v>0.32891658578418365</v>
      </c>
      <c r="AB17" s="4">
        <f t="shared" si="2"/>
        <v>0.29860755377055925</v>
      </c>
      <c r="AC17" s="4">
        <f t="shared" si="2"/>
        <v>0.40946065899672485</v>
      </c>
      <c r="AD17" s="4">
        <f t="shared" si="2"/>
        <v>0.32345491059263126</v>
      </c>
      <c r="AE17" s="4">
        <f t="shared" si="2"/>
        <v>0.26708443041064367</v>
      </c>
      <c r="AF17" s="4">
        <f t="shared" si="2"/>
        <v>0.37591083874447317</v>
      </c>
      <c r="AG17" s="4">
        <f t="shared" si="2"/>
        <v>0.32837265937843879</v>
      </c>
      <c r="AH17" s="4">
        <f t="shared" si="2"/>
        <v>0.29571650187708792</v>
      </c>
    </row>
    <row r="18" spans="3:34">
      <c r="C18" s="36">
        <f t="shared" si="4"/>
        <v>2018</v>
      </c>
      <c r="D18" s="4">
        <v>22158.75664998229</v>
      </c>
      <c r="E18" s="4">
        <v>16829.011942296453</v>
      </c>
      <c r="F18" s="4">
        <v>13311.416494351304</v>
      </c>
      <c r="G18" s="4">
        <v>19236.946015788762</v>
      </c>
      <c r="H18" s="4">
        <v>17289.723034580085</v>
      </c>
      <c r="I18" s="4">
        <v>15772.516036261197</v>
      </c>
      <c r="J18" s="4">
        <v>18494.125735248486</v>
      </c>
      <c r="K18" s="4">
        <v>17393.295647570387</v>
      </c>
      <c r="L18" s="4">
        <v>16411.763703811175</v>
      </c>
      <c r="M18" s="4">
        <v>20856.218223302243</v>
      </c>
      <c r="N18" s="4">
        <v>17026.307397595003</v>
      </c>
      <c r="O18" s="4">
        <v>14416.659465732799</v>
      </c>
      <c r="P18" s="4">
        <v>18711.135527244969</v>
      </c>
      <c r="Q18" s="4">
        <v>17356.036298776795</v>
      </c>
      <c r="R18" s="4">
        <v>16232.013260608284</v>
      </c>
      <c r="T18" s="4">
        <f t="shared" si="3"/>
        <v>0.42369219736938185</v>
      </c>
      <c r="U18" s="4">
        <f t="shared" si="2"/>
        <v>0.32178344489345939</v>
      </c>
      <c r="V18" s="4">
        <f t="shared" si="2"/>
        <v>0.25452435773715876</v>
      </c>
      <c r="W18" s="4">
        <f t="shared" si="2"/>
        <v>0.36782496675472226</v>
      </c>
      <c r="X18" s="4">
        <f t="shared" si="2"/>
        <v>0.3305925896539465</v>
      </c>
      <c r="Y18" s="4">
        <f t="shared" si="2"/>
        <v>0.30158244359133124</v>
      </c>
      <c r="Z18" s="4">
        <f t="shared" si="2"/>
        <v>0.3536216808084911</v>
      </c>
      <c r="AA18" s="4">
        <f t="shared" si="2"/>
        <v>0.33257297640029332</v>
      </c>
      <c r="AB18" s="4">
        <f t="shared" si="2"/>
        <v>0.31380534279121564</v>
      </c>
      <c r="AC18" s="4">
        <f t="shared" si="2"/>
        <v>0.39878667686227492</v>
      </c>
      <c r="AD18" s="4">
        <f t="shared" si="2"/>
        <v>0.32555588331619473</v>
      </c>
      <c r="AE18" s="4">
        <f t="shared" si="2"/>
        <v>0.27565743982153035</v>
      </c>
      <c r="AF18" s="4">
        <f t="shared" si="2"/>
        <v>0.35777107226912325</v>
      </c>
      <c r="AG18" s="4">
        <f t="shared" si="2"/>
        <v>0.3318605494526865</v>
      </c>
      <c r="AH18" s="4">
        <f t="shared" si="2"/>
        <v>0.31036837827819036</v>
      </c>
    </row>
    <row r="19" spans="3:34">
      <c r="C19" s="36">
        <f t="shared" si="4"/>
        <v>2019</v>
      </c>
      <c r="D19" s="4">
        <v>22092.783338434445</v>
      </c>
      <c r="E19" s="4">
        <v>17062.437051446523</v>
      </c>
      <c r="F19" s="4">
        <v>13666.956547615384</v>
      </c>
      <c r="G19" s="4">
        <v>18582.531656225761</v>
      </c>
      <c r="H19" s="4">
        <v>17632.574131671212</v>
      </c>
      <c r="I19" s="4">
        <v>16607.071149599378</v>
      </c>
      <c r="J19" s="4">
        <v>17715.778847474448</v>
      </c>
      <c r="K19" s="4">
        <v>17753.670584379113</v>
      </c>
      <c r="L19" s="4">
        <v>17352.727505642786</v>
      </c>
      <c r="M19" s="4">
        <v>20507.664721033667</v>
      </c>
      <c r="N19" s="4">
        <v>17310.113390626484</v>
      </c>
      <c r="O19" s="4">
        <v>15004.398825836201</v>
      </c>
      <c r="P19" s="4">
        <v>17967.298595981647</v>
      </c>
      <c r="Q19" s="4">
        <v>17709.465897005259</v>
      </c>
      <c r="R19" s="4">
        <v>17145.412444509446</v>
      </c>
      <c r="T19" s="4">
        <f t="shared" si="3"/>
        <v>0.41824825517086295</v>
      </c>
      <c r="U19" s="4">
        <f t="shared" si="2"/>
        <v>0.3230165441995364</v>
      </c>
      <c r="V19" s="4">
        <f t="shared" si="2"/>
        <v>0.2587352006296007</v>
      </c>
      <c r="W19" s="4">
        <f t="shared" si="2"/>
        <v>0.35179412764858553</v>
      </c>
      <c r="X19" s="4">
        <f t="shared" si="2"/>
        <v>0.33381006149245912</v>
      </c>
      <c r="Y19" s="4">
        <f t="shared" si="2"/>
        <v>0.3143958108589554</v>
      </c>
      <c r="Z19" s="4">
        <f t="shared" si="2"/>
        <v>0.33538524677688408</v>
      </c>
      <c r="AA19" s="4">
        <f t="shared" si="2"/>
        <v>0.336102592011434</v>
      </c>
      <c r="AB19" s="4">
        <f t="shared" si="2"/>
        <v>0.32851216121168192</v>
      </c>
      <c r="AC19" s="4">
        <f t="shared" si="2"/>
        <v>0.38823967337241827</v>
      </c>
      <c r="AD19" s="4">
        <f t="shared" si="2"/>
        <v>0.32770541454793256</v>
      </c>
      <c r="AE19" s="4">
        <f t="shared" si="2"/>
        <v>0.28405491207964922</v>
      </c>
      <c r="AF19" s="4">
        <f t="shared" si="2"/>
        <v>0.34014687840756863</v>
      </c>
      <c r="AG19" s="4">
        <f t="shared" si="2"/>
        <v>0.33526573351871869</v>
      </c>
      <c r="AH19" s="4">
        <f t="shared" si="2"/>
        <v>0.32458738807371273</v>
      </c>
    </row>
    <row r="20" spans="3:34">
      <c r="C20" s="36">
        <f t="shared" si="4"/>
        <v>2020</v>
      </c>
      <c r="D20" s="4">
        <v>22027.978020957784</v>
      </c>
      <c r="E20" s="4">
        <v>17299.843091375718</v>
      </c>
      <c r="F20" s="4">
        <v>14022.577594537819</v>
      </c>
      <c r="G20" s="4">
        <v>17993.854861118496</v>
      </c>
      <c r="H20" s="4">
        <v>17974.017633232495</v>
      </c>
      <c r="I20" s="4">
        <v>17382.526212520326</v>
      </c>
      <c r="J20" s="4">
        <v>17106.314435759086</v>
      </c>
      <c r="K20" s="4">
        <v>18111.048214403687</v>
      </c>
      <c r="L20" s="4">
        <v>18133.036056708544</v>
      </c>
      <c r="M20" s="4">
        <v>20236.403263238328</v>
      </c>
      <c r="N20" s="4">
        <v>17596.485615271518</v>
      </c>
      <c r="O20" s="4">
        <v>15517.509828361475</v>
      </c>
      <c r="P20" s="4">
        <v>17351.611075252087</v>
      </c>
      <c r="Q20" s="4">
        <v>18060.86808384092</v>
      </c>
      <c r="R20" s="4">
        <v>17937.919547778314</v>
      </c>
      <c r="T20" s="4">
        <f t="shared" si="3"/>
        <v>0.41289247231287635</v>
      </c>
      <c r="U20" s="4">
        <f t="shared" si="2"/>
        <v>0.32426829996956641</v>
      </c>
      <c r="V20" s="4">
        <f t="shared" si="2"/>
        <v>0.26283922771755713</v>
      </c>
      <c r="W20" s="4">
        <f t="shared" si="2"/>
        <v>0.3372768582290081</v>
      </c>
      <c r="X20" s="4">
        <f t="shared" si="2"/>
        <v>0.33690502918242504</v>
      </c>
      <c r="Y20" s="4">
        <f t="shared" si="2"/>
        <v>0.32581811258856674</v>
      </c>
      <c r="Z20" s="4">
        <f t="shared" si="2"/>
        <v>0.32064079838930726</v>
      </c>
      <c r="AA20" s="4">
        <f t="shared" si="2"/>
        <v>0.33947353072116881</v>
      </c>
      <c r="AB20" s="4">
        <f t="shared" si="2"/>
        <v>0.33988567088952382</v>
      </c>
      <c r="AC20" s="4">
        <f t="shared" si="2"/>
        <v>0.379311190801503</v>
      </c>
      <c r="AD20" s="4">
        <f t="shared" si="2"/>
        <v>0.32982856814161277</v>
      </c>
      <c r="AE20" s="4">
        <f t="shared" si="2"/>
        <v>0.29086024105688418</v>
      </c>
      <c r="AF20" s="4">
        <f t="shared" si="2"/>
        <v>0.32523863918222728</v>
      </c>
      <c r="AG20" s="4">
        <f t="shared" si="2"/>
        <v>0.33853295423478719</v>
      </c>
      <c r="AH20" s="4">
        <f t="shared" si="2"/>
        <v>0.33622840658298547</v>
      </c>
    </row>
    <row r="21" spans="3:34">
      <c r="C21" s="36">
        <f t="shared" si="4"/>
        <v>2021</v>
      </c>
      <c r="D21" s="4">
        <v>21974.679209034031</v>
      </c>
      <c r="E21" s="4">
        <v>17541.316737987592</v>
      </c>
      <c r="F21" s="4">
        <v>14367.906746918408</v>
      </c>
      <c r="G21" s="4">
        <v>17440.550096118724</v>
      </c>
      <c r="H21" s="4">
        <v>18303.769224346601</v>
      </c>
      <c r="I21" s="4">
        <v>18139.58337347471</v>
      </c>
      <c r="J21" s="4">
        <v>16527.881674936685</v>
      </c>
      <c r="K21" s="4">
        <v>18436.81772327804</v>
      </c>
      <c r="L21" s="4">
        <v>18919.203295725307</v>
      </c>
      <c r="M21" s="4">
        <v>19996.936791404743</v>
      </c>
      <c r="N21" s="4">
        <v>17868.959033367071</v>
      </c>
      <c r="O21" s="4">
        <v>16018.006869168219</v>
      </c>
      <c r="P21" s="4">
        <v>16788.078157644915</v>
      </c>
      <c r="Q21" s="4">
        <v>18387.275780441101</v>
      </c>
      <c r="R21" s="4">
        <v>18708.548755854015</v>
      </c>
      <c r="T21" s="4">
        <f t="shared" si="3"/>
        <v>0.40781528639174419</v>
      </c>
      <c r="U21" s="4">
        <f t="shared" si="2"/>
        <v>0.32553909165826528</v>
      </c>
      <c r="V21" s="4">
        <f t="shared" si="2"/>
        <v>0.26664562194999047</v>
      </c>
      <c r="W21" s="4">
        <f t="shared" si="2"/>
        <v>0.32366902217868021</v>
      </c>
      <c r="X21" s="4">
        <f t="shared" si="2"/>
        <v>0.33968900375148781</v>
      </c>
      <c r="Y21" s="4">
        <f t="shared" si="2"/>
        <v>0.33664197406983198</v>
      </c>
      <c r="Z21" s="4">
        <f t="shared" si="2"/>
        <v>0.30673133994794083</v>
      </c>
      <c r="AA21" s="4">
        <f t="shared" si="2"/>
        <v>0.34215817343444771</v>
      </c>
      <c r="AB21" s="4">
        <f t="shared" si="2"/>
        <v>0.35111048661761141</v>
      </c>
      <c r="AC21" s="4">
        <f t="shared" si="2"/>
        <v>0.37111151552973287</v>
      </c>
      <c r="AD21" s="4">
        <f t="shared" si="2"/>
        <v>0.33161961439323651</v>
      </c>
      <c r="AE21" s="4">
        <f t="shared" si="2"/>
        <v>0.29726887007703057</v>
      </c>
      <c r="AF21" s="4">
        <f t="shared" si="2"/>
        <v>0.3115601750860737</v>
      </c>
      <c r="AG21" s="4">
        <f t="shared" si="2"/>
        <v>0.34123875334124593</v>
      </c>
      <c r="AH21" s="4">
        <f t="shared" si="2"/>
        <v>0.34720107157268032</v>
      </c>
    </row>
    <row r="22" spans="3:34">
      <c r="C22" s="36">
        <f t="shared" si="4"/>
        <v>2022</v>
      </c>
      <c r="D22" s="4">
        <v>21933.366116569814</v>
      </c>
      <c r="E22" s="4">
        <v>17783.129750872788</v>
      </c>
      <c r="F22" s="4">
        <v>14706.245853436838</v>
      </c>
      <c r="G22" s="4">
        <v>16903.171974573095</v>
      </c>
      <c r="H22" s="4">
        <v>18630.288777791087</v>
      </c>
      <c r="I22" s="4">
        <v>18889.280968515257</v>
      </c>
      <c r="J22" s="4">
        <v>15953.374755240438</v>
      </c>
      <c r="K22" s="4">
        <v>18766.102067362419</v>
      </c>
      <c r="L22" s="4">
        <v>19703.264898276579</v>
      </c>
      <c r="M22" s="4">
        <v>19762.808168607142</v>
      </c>
      <c r="N22" s="4">
        <v>18140.601171133145</v>
      </c>
      <c r="O22" s="4">
        <v>16519.332381139153</v>
      </c>
      <c r="P22" s="4">
        <v>16248.600173908619</v>
      </c>
      <c r="Q22" s="4">
        <v>18710.532205266602</v>
      </c>
      <c r="R22" s="4">
        <v>19463.609341704218</v>
      </c>
      <c r="T22" s="4">
        <f t="shared" si="3"/>
        <v>0.40301839677722479</v>
      </c>
      <c r="U22" s="4">
        <f t="shared" si="2"/>
        <v>0.32675916700555058</v>
      </c>
      <c r="V22" s="4">
        <f t="shared" si="2"/>
        <v>0.27022243621722469</v>
      </c>
      <c r="W22" s="4">
        <f t="shared" si="2"/>
        <v>0.31059023195239255</v>
      </c>
      <c r="X22" s="4">
        <f t="shared" si="2"/>
        <v>0.34232543581396829</v>
      </c>
      <c r="Y22" s="4">
        <f t="shared" si="2"/>
        <v>0.34708433223363921</v>
      </c>
      <c r="Z22" s="4">
        <f t="shared" si="2"/>
        <v>0.29313802007736561</v>
      </c>
      <c r="AA22" s="4">
        <f t="shared" si="2"/>
        <v>0.34482096039205523</v>
      </c>
      <c r="AB22" s="4">
        <f t="shared" si="2"/>
        <v>0.36204101953057921</v>
      </c>
      <c r="AC22" s="4">
        <f t="shared" si="2"/>
        <v>0.3631351075615708</v>
      </c>
      <c r="AD22" s="4">
        <f t="shared" si="2"/>
        <v>0.33332758691525921</v>
      </c>
      <c r="AE22" s="4">
        <f t="shared" si="2"/>
        <v>0.30353730552317004</v>
      </c>
      <c r="AF22" s="4">
        <f t="shared" si="2"/>
        <v>0.29856269015705983</v>
      </c>
      <c r="AG22" s="4">
        <f t="shared" si="2"/>
        <v>0.34379988243202114</v>
      </c>
      <c r="AH22" s="4">
        <f t="shared" si="2"/>
        <v>0.35763742741091908</v>
      </c>
    </row>
    <row r="23" spans="3:34">
      <c r="C23" s="36">
        <f t="shared" si="4"/>
        <v>2023</v>
      </c>
      <c r="D23" s="4">
        <v>21895.086097677464</v>
      </c>
      <c r="E23" s="4">
        <v>18026.262678817347</v>
      </c>
      <c r="F23" s="4">
        <v>15045.620361593428</v>
      </c>
      <c r="G23" s="4">
        <v>16389.900312445283</v>
      </c>
      <c r="H23" s="4">
        <v>18957.098714141655</v>
      </c>
      <c r="I23" s="4">
        <v>19619.970111501294</v>
      </c>
      <c r="J23" s="4">
        <v>15398.48284185495</v>
      </c>
      <c r="K23" s="4">
        <v>19096.656071461999</v>
      </c>
      <c r="L23" s="4">
        <v>20471.830224771285</v>
      </c>
      <c r="M23" s="4">
        <v>19531.491953030694</v>
      </c>
      <c r="N23" s="4">
        <v>18415.086451280615</v>
      </c>
      <c r="O23" s="4">
        <v>17020.390733776927</v>
      </c>
      <c r="P23" s="4">
        <v>15721.188298356436</v>
      </c>
      <c r="Q23" s="4">
        <v>19032.601410571326</v>
      </c>
      <c r="R23" s="4">
        <v>20213.179429160478</v>
      </c>
      <c r="T23" s="4">
        <f t="shared" si="3"/>
        <v>0.39833169703558774</v>
      </c>
      <c r="U23" s="4">
        <f t="shared" si="3"/>
        <v>0.32794718285324592</v>
      </c>
      <c r="V23" s="4">
        <f t="shared" si="3"/>
        <v>0.27372112011116645</v>
      </c>
      <c r="W23" s="4">
        <f t="shared" si="3"/>
        <v>0.29817726117062249</v>
      </c>
      <c r="X23" s="4">
        <f t="shared" si="3"/>
        <v>0.34488164458399656</v>
      </c>
      <c r="Y23" s="4">
        <f t="shared" si="3"/>
        <v>0.35694109424538084</v>
      </c>
      <c r="Z23" s="4">
        <f t="shared" si="3"/>
        <v>0.2801406568947038</v>
      </c>
      <c r="AA23" s="4">
        <f t="shared" si="3"/>
        <v>0.3474205758641577</v>
      </c>
      <c r="AB23" s="4">
        <f t="shared" si="3"/>
        <v>0.37243876724113845</v>
      </c>
      <c r="AC23" s="4">
        <f t="shared" si="3"/>
        <v>0.35533143375549059</v>
      </c>
      <c r="AD23" s="4">
        <f t="shared" si="3"/>
        <v>0.33502095422103706</v>
      </c>
      <c r="AE23" s="4">
        <f t="shared" si="3"/>
        <v>0.30964761202347241</v>
      </c>
      <c r="AF23" s="4">
        <f t="shared" si="3"/>
        <v>0.28601155466406752</v>
      </c>
      <c r="AG23" s="4">
        <f t="shared" si="3"/>
        <v>0.3462552458142189</v>
      </c>
      <c r="AH23" s="4">
        <f t="shared" si="3"/>
        <v>0.36773319952171368</v>
      </c>
    </row>
    <row r="24" spans="3:34">
      <c r="C24" s="36">
        <f t="shared" si="4"/>
        <v>2024</v>
      </c>
      <c r="D24" s="4">
        <v>21852.468370249913</v>
      </c>
      <c r="E24" s="4">
        <v>18272.01222040506</v>
      </c>
      <c r="F24" s="4">
        <v>15392.158238814143</v>
      </c>
      <c r="G24" s="4">
        <v>15965.470266373233</v>
      </c>
      <c r="H24" s="4">
        <v>19281.233671120885</v>
      </c>
      <c r="I24" s="4">
        <v>20269.934891975005</v>
      </c>
      <c r="J24" s="4">
        <v>14883.142666294407</v>
      </c>
      <c r="K24" s="4">
        <v>19424.167546473887</v>
      </c>
      <c r="L24" s="4">
        <v>21209.328616700826</v>
      </c>
      <c r="M24" s="4">
        <v>19316.592896810951</v>
      </c>
      <c r="N24" s="4">
        <v>18691.410191478753</v>
      </c>
      <c r="O24" s="4">
        <v>17508.635741179409</v>
      </c>
      <c r="P24" s="4">
        <v>15282.165674199048</v>
      </c>
      <c r="Q24" s="4">
        <v>19353.043521845739</v>
      </c>
      <c r="R24" s="4">
        <v>20881.42963342433</v>
      </c>
      <c r="T24" s="4">
        <f t="shared" si="3"/>
        <v>0.39362016200898453</v>
      </c>
      <c r="U24" s="4">
        <f t="shared" si="3"/>
        <v>0.32912677362423437</v>
      </c>
      <c r="V24" s="4">
        <f t="shared" si="3"/>
        <v>0.27725306436678115</v>
      </c>
      <c r="W24" s="4">
        <f t="shared" si="3"/>
        <v>0.28757991483264128</v>
      </c>
      <c r="X24" s="4">
        <f t="shared" si="3"/>
        <v>0.34730549395015065</v>
      </c>
      <c r="Y24" s="4">
        <f t="shared" si="3"/>
        <v>0.36511459121720824</v>
      </c>
      <c r="Z24" s="4">
        <f t="shared" si="3"/>
        <v>0.26808436137517389</v>
      </c>
      <c r="AA24" s="4">
        <f t="shared" si="3"/>
        <v>0.34988010722585805</v>
      </c>
      <c r="AB24" s="4">
        <f t="shared" si="3"/>
        <v>0.38203553139896823</v>
      </c>
      <c r="AC24" s="4">
        <f t="shared" si="3"/>
        <v>0.34794240617026329</v>
      </c>
      <c r="AD24" s="4">
        <f t="shared" si="3"/>
        <v>0.33668122900763681</v>
      </c>
      <c r="AE24" s="4">
        <f t="shared" si="3"/>
        <v>0.31537636482209991</v>
      </c>
      <c r="AF24" s="4">
        <f t="shared" si="3"/>
        <v>0.27527181033313985</v>
      </c>
      <c r="AG24" s="4">
        <f t="shared" si="3"/>
        <v>0.34859897734970285</v>
      </c>
      <c r="AH24" s="4">
        <f t="shared" si="3"/>
        <v>0.37612921231715735</v>
      </c>
    </row>
    <row r="25" spans="3:34">
      <c r="C25" s="36">
        <f t="shared" si="4"/>
        <v>2025</v>
      </c>
      <c r="D25" s="4">
        <v>21805.90139981352</v>
      </c>
      <c r="E25" s="4">
        <v>18521.278638836677</v>
      </c>
      <c r="F25" s="4">
        <v>15744.625179113604</v>
      </c>
      <c r="G25" s="4">
        <v>15592.154124145891</v>
      </c>
      <c r="H25" s="4">
        <v>19587.658793244067</v>
      </c>
      <c r="I25" s="4">
        <v>20891.992300373844</v>
      </c>
      <c r="J25" s="4">
        <v>14394.192590092985</v>
      </c>
      <c r="K25" s="4">
        <v>19746.561067129118</v>
      </c>
      <c r="L25" s="4">
        <v>21931.051560541695</v>
      </c>
      <c r="M25" s="4">
        <v>19106.753888373176</v>
      </c>
      <c r="N25" s="4">
        <v>18966.126353753745</v>
      </c>
      <c r="O25" s="4">
        <v>17998.924975636884</v>
      </c>
      <c r="P25" s="4">
        <v>14872.751863878659</v>
      </c>
      <c r="Q25" s="4">
        <v>19657.681824891966</v>
      </c>
      <c r="R25" s="4">
        <v>21541.371528993175</v>
      </c>
      <c r="T25" s="4">
        <f t="shared" si="3"/>
        <v>0.38889244452050048</v>
      </c>
      <c r="U25" s="4">
        <f t="shared" si="3"/>
        <v>0.33031357857850902</v>
      </c>
      <c r="V25" s="4">
        <f t="shared" si="3"/>
        <v>0.28079397690099045</v>
      </c>
      <c r="W25" s="4">
        <f t="shared" si="3"/>
        <v>0.27807476616084092</v>
      </c>
      <c r="X25" s="4">
        <f t="shared" si="3"/>
        <v>0.34933169562086097</v>
      </c>
      <c r="Y25" s="4">
        <f t="shared" si="3"/>
        <v>0.3725935382182981</v>
      </c>
      <c r="Z25" s="4">
        <f t="shared" si="3"/>
        <v>0.25670999059493166</v>
      </c>
      <c r="AA25" s="4">
        <f t="shared" si="3"/>
        <v>0.35216560248845563</v>
      </c>
      <c r="AB25" s="4">
        <f t="shared" si="3"/>
        <v>0.39112440691661265</v>
      </c>
      <c r="AC25" s="4">
        <f t="shared" si="3"/>
        <v>0.34075510524708541</v>
      </c>
      <c r="AD25" s="4">
        <f t="shared" si="3"/>
        <v>0.33824711510706257</v>
      </c>
      <c r="AE25" s="4">
        <f t="shared" si="3"/>
        <v>0.32099777964585208</v>
      </c>
      <c r="AF25" s="4">
        <f t="shared" si="3"/>
        <v>0.26524474833863387</v>
      </c>
      <c r="AG25" s="4">
        <f t="shared" si="3"/>
        <v>0.35058050563109611</v>
      </c>
      <c r="AH25" s="4">
        <f t="shared" si="3"/>
        <v>0.38417474603026996</v>
      </c>
    </row>
    <row r="26" spans="3:34">
      <c r="C26" s="36">
        <f t="shared" si="4"/>
        <v>2026</v>
      </c>
      <c r="D26" s="4">
        <v>21746.266758726622</v>
      </c>
      <c r="E26" s="4">
        <v>18772.532837072813</v>
      </c>
      <c r="F26" s="4">
        <v>16113.723674142009</v>
      </c>
      <c r="G26" s="4">
        <v>15214.722089826451</v>
      </c>
      <c r="H26" s="4">
        <v>19892.029923349015</v>
      </c>
      <c r="I26" s="4">
        <v>21525.771256765984</v>
      </c>
      <c r="J26" s="4">
        <v>13902.570252631765</v>
      </c>
      <c r="K26" s="4">
        <v>20065.680784527533</v>
      </c>
      <c r="L26" s="4">
        <v>22664.272232782147</v>
      </c>
      <c r="M26" s="4">
        <v>18906.425071876278</v>
      </c>
      <c r="N26" s="4">
        <v>19243.242863518342</v>
      </c>
      <c r="O26" s="4">
        <v>18482.855334546824</v>
      </c>
      <c r="P26" s="4">
        <v>14465.448693126769</v>
      </c>
      <c r="Q26" s="4">
        <v>19961.846731130703</v>
      </c>
      <c r="R26" s="4">
        <v>22205.227845683974</v>
      </c>
      <c r="T26" s="4">
        <f t="shared" si="3"/>
        <v>0.3839890137875735</v>
      </c>
      <c r="U26" s="4">
        <f t="shared" si="3"/>
        <v>0.33147971789271508</v>
      </c>
      <c r="V26" s="4">
        <f t="shared" si="3"/>
        <v>0.28453126831971137</v>
      </c>
      <c r="W26" s="4">
        <f t="shared" si="3"/>
        <v>0.26865696972929848</v>
      </c>
      <c r="X26" s="4">
        <f t="shared" si="3"/>
        <v>0.35124745949483421</v>
      </c>
      <c r="Y26" s="4">
        <f t="shared" si="3"/>
        <v>0.38009557077586736</v>
      </c>
      <c r="Z26" s="4">
        <f t="shared" si="3"/>
        <v>0.24548738869296965</v>
      </c>
      <c r="AA26" s="4">
        <f t="shared" si="3"/>
        <v>0.35431373398080057</v>
      </c>
      <c r="AB26" s="4">
        <f t="shared" si="3"/>
        <v>0.40019887732622972</v>
      </c>
      <c r="AC26" s="4">
        <f t="shared" si="3"/>
        <v>0.33384394655625638</v>
      </c>
      <c r="AD26" s="4">
        <f t="shared" si="3"/>
        <v>0.33979137344445287</v>
      </c>
      <c r="AE26" s="4">
        <f t="shared" si="3"/>
        <v>0.3263646799992907</v>
      </c>
      <c r="AF26" s="4">
        <f t="shared" si="3"/>
        <v>0.25542652627672202</v>
      </c>
      <c r="AG26" s="4">
        <f t="shared" si="3"/>
        <v>0.35248026361074658</v>
      </c>
      <c r="AH26" s="4">
        <f t="shared" si="3"/>
        <v>0.39209321011253134</v>
      </c>
    </row>
    <row r="27" spans="3:34">
      <c r="C27" s="36">
        <f t="shared" si="4"/>
        <v>2027</v>
      </c>
      <c r="D27" s="4">
        <v>21694.747286891939</v>
      </c>
      <c r="E27" s="4">
        <v>19030.785232468254</v>
      </c>
      <c r="F27" s="4">
        <v>16473.315983280667</v>
      </c>
      <c r="G27" s="4">
        <v>14831.683027044161</v>
      </c>
      <c r="H27" s="4">
        <v>20197.916022265075</v>
      </c>
      <c r="I27" s="4">
        <v>22169.24945333162</v>
      </c>
      <c r="J27" s="4">
        <v>13403.945586608326</v>
      </c>
      <c r="K27" s="4">
        <v>20386.96808614962</v>
      </c>
      <c r="L27" s="4">
        <v>23407.934829882906</v>
      </c>
      <c r="M27" s="4">
        <v>18712.115690280058</v>
      </c>
      <c r="N27" s="4">
        <v>19520.556410856603</v>
      </c>
      <c r="O27" s="4">
        <v>18966.176401504199</v>
      </c>
      <c r="P27" s="4">
        <v>14053.118427611396</v>
      </c>
      <c r="Q27" s="4">
        <v>20266.639918768655</v>
      </c>
      <c r="R27" s="4">
        <v>22879.090156260805</v>
      </c>
      <c r="T27" s="4">
        <f t="shared" si="3"/>
        <v>0.379286434164672</v>
      </c>
      <c r="U27" s="4">
        <f t="shared" si="3"/>
        <v>0.33271273339689006</v>
      </c>
      <c r="V27" s="4">
        <f t="shared" si="3"/>
        <v>0.28800083243843794</v>
      </c>
      <c r="W27" s="4">
        <f t="shared" si="3"/>
        <v>0.25930037781021736</v>
      </c>
      <c r="X27" s="4">
        <f t="shared" si="3"/>
        <v>0.35311752860431345</v>
      </c>
      <c r="Y27" s="4">
        <f t="shared" si="3"/>
        <v>0.38758209358546913</v>
      </c>
      <c r="Z27" s="4">
        <f t="shared" si="3"/>
        <v>0.234339430556709</v>
      </c>
      <c r="AA27" s="4">
        <f t="shared" si="3"/>
        <v>0.35642270115294994</v>
      </c>
      <c r="AB27" s="4">
        <f t="shared" si="3"/>
        <v>0.40923786829034098</v>
      </c>
      <c r="AC27" s="4">
        <f t="shared" si="3"/>
        <v>0.32714147539903926</v>
      </c>
      <c r="AD27" s="4">
        <f t="shared" si="3"/>
        <v>0.34127533895993278</v>
      </c>
      <c r="AE27" s="4">
        <f t="shared" si="3"/>
        <v>0.33158318564102796</v>
      </c>
      <c r="AF27" s="4">
        <f t="shared" si="3"/>
        <v>0.24568883457439825</v>
      </c>
      <c r="AG27" s="4">
        <f t="shared" si="3"/>
        <v>0.35431901951370487</v>
      </c>
      <c r="AH27" s="4">
        <f t="shared" si="3"/>
        <v>0.39999214591189686</v>
      </c>
    </row>
    <row r="28" spans="3:34">
      <c r="C28" s="36">
        <f t="shared" si="4"/>
        <v>2028</v>
      </c>
      <c r="D28" s="4">
        <v>21657.461694586269</v>
      </c>
      <c r="E28" s="4">
        <v>19289.878718841235</v>
      </c>
      <c r="F28" s="4">
        <v>16823.496574239765</v>
      </c>
      <c r="G28" s="4">
        <v>14421.991258686128</v>
      </c>
      <c r="H28" s="4">
        <v>20506.151576823744</v>
      </c>
      <c r="I28" s="4">
        <v>22842.694152157397</v>
      </c>
      <c r="J28" s="4">
        <v>12885.626613900429</v>
      </c>
      <c r="K28" s="4">
        <v>20710.596281031383</v>
      </c>
      <c r="L28" s="4">
        <v>24174.614092735457</v>
      </c>
      <c r="M28" s="4">
        <v>18524.434619561387</v>
      </c>
      <c r="N28" s="4">
        <v>19798.68790399842</v>
      </c>
      <c r="O28" s="4">
        <v>19447.714464107456</v>
      </c>
      <c r="P28" s="4">
        <v>13622.280589103402</v>
      </c>
      <c r="Q28" s="4">
        <v>20574.531334710446</v>
      </c>
      <c r="R28" s="4">
        <v>23574.025063853423</v>
      </c>
      <c r="T28" s="4">
        <f t="shared" si="3"/>
        <v>0.37488571784427555</v>
      </c>
      <c r="U28" s="4">
        <f t="shared" si="3"/>
        <v>0.33390339701948885</v>
      </c>
      <c r="V28" s="4">
        <f t="shared" si="3"/>
        <v>0.29121088513623561</v>
      </c>
      <c r="W28" s="4">
        <f t="shared" si="3"/>
        <v>0.24964137635334743</v>
      </c>
      <c r="X28" s="4">
        <f t="shared" si="3"/>
        <v>0.35495680253345357</v>
      </c>
      <c r="Y28" s="4">
        <f t="shared" si="3"/>
        <v>0.3954018211131991</v>
      </c>
      <c r="Z28" s="4">
        <f t="shared" si="3"/>
        <v>0.22304725508220025</v>
      </c>
      <c r="AA28" s="4">
        <f t="shared" si="3"/>
        <v>0.35849569369148337</v>
      </c>
      <c r="AB28" s="4">
        <f t="shared" si="3"/>
        <v>0.41845705122631643</v>
      </c>
      <c r="AC28" s="4">
        <f t="shared" si="3"/>
        <v>0.32065373440090411</v>
      </c>
      <c r="AD28" s="4">
        <f t="shared" si="3"/>
        <v>0.34271076786069382</v>
      </c>
      <c r="AE28" s="4">
        <f t="shared" si="3"/>
        <v>0.33663549773840201</v>
      </c>
      <c r="AF28" s="4">
        <f t="shared" si="3"/>
        <v>0.23579856722538819</v>
      </c>
      <c r="AG28" s="4">
        <f t="shared" si="3"/>
        <v>0.35614044053235078</v>
      </c>
      <c r="AH28" s="4">
        <f t="shared" si="3"/>
        <v>0.40806099224226111</v>
      </c>
    </row>
    <row r="29" spans="3:34">
      <c r="C29" s="36">
        <f t="shared" si="4"/>
        <v>2029</v>
      </c>
      <c r="D29" s="4">
        <v>21628.691351355177</v>
      </c>
      <c r="E29" s="4">
        <v>19549.694191673509</v>
      </c>
      <c r="F29" s="4">
        <v>17170.15981451526</v>
      </c>
      <c r="G29" s="4">
        <v>14055.823878567251</v>
      </c>
      <c r="H29" s="4">
        <v>20820.460523396145</v>
      </c>
      <c r="I29" s="4">
        <v>23472.260955580547</v>
      </c>
      <c r="J29" s="4">
        <v>12475.659715341302</v>
      </c>
      <c r="K29" s="4">
        <v>21038.537127716481</v>
      </c>
      <c r="L29" s="4">
        <v>24834.348514486155</v>
      </c>
      <c r="M29" s="4">
        <v>18408.193219534798</v>
      </c>
      <c r="N29" s="4">
        <v>20078.189198157976</v>
      </c>
      <c r="O29" s="4">
        <v>19862.162939851169</v>
      </c>
      <c r="P29" s="4">
        <v>13348.133092814354</v>
      </c>
      <c r="Q29" s="4">
        <v>20887.732265793304</v>
      </c>
      <c r="R29" s="4">
        <v>24112.679998936284</v>
      </c>
      <c r="T29" s="4">
        <f t="shared" si="3"/>
        <v>0.37068090076317184</v>
      </c>
      <c r="U29" s="4">
        <f t="shared" si="3"/>
        <v>0.33505024113074838</v>
      </c>
      <c r="V29" s="4">
        <f t="shared" si="3"/>
        <v>0.29426885810607978</v>
      </c>
      <c r="W29" s="4">
        <f t="shared" si="3"/>
        <v>0.24089416098442562</v>
      </c>
      <c r="X29" s="4">
        <f t="shared" si="3"/>
        <v>0.35682912737265426</v>
      </c>
      <c r="Y29" s="4">
        <f t="shared" si="3"/>
        <v>0.40227671164292006</v>
      </c>
      <c r="Z29" s="4">
        <f t="shared" si="3"/>
        <v>0.21381269471061989</v>
      </c>
      <c r="AA29" s="4">
        <f t="shared" si="3"/>
        <v>0.36056660879543906</v>
      </c>
      <c r="AB29" s="4">
        <f t="shared" si="3"/>
        <v>0.42562069649394091</v>
      </c>
      <c r="AC29" s="4">
        <f t="shared" si="3"/>
        <v>0.31548675475514287</v>
      </c>
      <c r="AD29" s="4">
        <f t="shared" si="3"/>
        <v>0.34410779352123205</v>
      </c>
      <c r="AE29" s="4">
        <f t="shared" si="3"/>
        <v>0.34040545172362496</v>
      </c>
      <c r="AF29" s="4">
        <f t="shared" si="3"/>
        <v>0.2287654818302777</v>
      </c>
      <c r="AG29" s="4">
        <f t="shared" si="3"/>
        <v>0.35798205658425564</v>
      </c>
      <c r="AH29" s="4">
        <f t="shared" si="3"/>
        <v>0.41325246158546658</v>
      </c>
    </row>
    <row r="30" spans="3:34">
      <c r="C30" s="36">
        <f t="shared" si="4"/>
        <v>2030</v>
      </c>
      <c r="D30" s="4">
        <v>21602.731790787762</v>
      </c>
      <c r="E30" s="4">
        <v>19809.817481656548</v>
      </c>
      <c r="F30" s="4">
        <v>17519.481538675074</v>
      </c>
      <c r="G30" s="4">
        <v>13709.018527782124</v>
      </c>
      <c r="H30" s="4">
        <v>21125.015492201921</v>
      </c>
      <c r="I30" s="4">
        <v>24097.996791135338</v>
      </c>
      <c r="J30" s="4">
        <v>12106.219869625293</v>
      </c>
      <c r="K30" s="4">
        <v>21342.355253996087</v>
      </c>
      <c r="L30" s="4">
        <v>25483.455687498004</v>
      </c>
      <c r="M30" s="4">
        <v>18320.474790042867</v>
      </c>
      <c r="N30" s="4">
        <v>20342.845350605763</v>
      </c>
      <c r="O30" s="4">
        <v>20268.710670470755</v>
      </c>
      <c r="P30" s="4">
        <v>13134.430844164519</v>
      </c>
      <c r="Q30" s="4">
        <v>21164.029190219953</v>
      </c>
      <c r="R30" s="4">
        <v>24633.570776734909</v>
      </c>
      <c r="T30" s="4">
        <f t="shared" si="3"/>
        <v>0.36657029281793774</v>
      </c>
      <c r="U30" s="4">
        <f t="shared" si="3"/>
        <v>0.33614686629666934</v>
      </c>
      <c r="V30" s="4">
        <f t="shared" si="3"/>
        <v>0.29728284088539286</v>
      </c>
      <c r="W30" s="4">
        <f t="shared" si="3"/>
        <v>0.23262423403870691</v>
      </c>
      <c r="X30" s="4">
        <f t="shared" si="3"/>
        <v>0.35846406786674012</v>
      </c>
      <c r="Y30" s="4">
        <f t="shared" si="3"/>
        <v>0.40891169809455286</v>
      </c>
      <c r="Z30" s="4">
        <f t="shared" si="3"/>
        <v>0.20542682312147764</v>
      </c>
      <c r="AA30" s="4">
        <f t="shared" si="3"/>
        <v>0.36215204126257905</v>
      </c>
      <c r="AB30" s="4">
        <f t="shared" si="3"/>
        <v>0.43242113561594325</v>
      </c>
      <c r="AC30" s="4">
        <f t="shared" si="3"/>
        <v>0.31087465573282314</v>
      </c>
      <c r="AD30" s="4">
        <f t="shared" si="3"/>
        <v>0.34519165673767083</v>
      </c>
      <c r="AE30" s="4">
        <f t="shared" si="3"/>
        <v>0.34393368752950598</v>
      </c>
      <c r="AF30" s="4">
        <f t="shared" si="3"/>
        <v>0.2228742275361448</v>
      </c>
      <c r="AG30" s="4">
        <f t="shared" si="3"/>
        <v>0.3591260796365886</v>
      </c>
      <c r="AH30" s="4">
        <f t="shared" si="3"/>
        <v>0.41799969282726651</v>
      </c>
    </row>
    <row r="31" spans="3:34">
      <c r="C31" s="36">
        <f t="shared" si="4"/>
        <v>2031</v>
      </c>
      <c r="D31" s="4">
        <v>21558.693904397849</v>
      </c>
      <c r="E31" s="4">
        <v>20070.086026640194</v>
      </c>
      <c r="F31" s="4">
        <v>17892.571188192531</v>
      </c>
      <c r="G31" s="4">
        <v>13365.034831134617</v>
      </c>
      <c r="H31" s="4">
        <v>21428.92271022881</v>
      </c>
      <c r="I31" s="4">
        <v>24727.393577867144</v>
      </c>
      <c r="J31" s="4">
        <v>11750.427966816127</v>
      </c>
      <c r="K31" s="4">
        <v>21645.063610478122</v>
      </c>
      <c r="L31" s="4">
        <v>26125.859541936319</v>
      </c>
      <c r="M31" s="4">
        <v>18232.084191287366</v>
      </c>
      <c r="N31" s="4">
        <v>20606.451131275622</v>
      </c>
      <c r="O31" s="4">
        <v>20682.815796667579</v>
      </c>
      <c r="P31" s="4">
        <v>12937.073183159215</v>
      </c>
      <c r="Q31" s="4">
        <v>21437.957906237512</v>
      </c>
      <c r="R31" s="4">
        <v>25146.320029833842</v>
      </c>
      <c r="T31" s="4">
        <f t="shared" si="3"/>
        <v>0.36220101692941098</v>
      </c>
      <c r="U31" s="4">
        <f t="shared" si="3"/>
        <v>0.33719137165479784</v>
      </c>
      <c r="V31" s="4">
        <f t="shared" si="3"/>
        <v>0.30060761141579118</v>
      </c>
      <c r="W31" s="4">
        <f t="shared" si="3"/>
        <v>0.22454185901059878</v>
      </c>
      <c r="X31" s="4">
        <f t="shared" si="3"/>
        <v>0.36002077082059725</v>
      </c>
      <c r="Y31" s="4">
        <f t="shared" si="3"/>
        <v>0.41543737016880394</v>
      </c>
      <c r="Z31" s="4">
        <f t="shared" si="3"/>
        <v>0.1974153433324822</v>
      </c>
      <c r="AA31" s="4">
        <f t="shared" si="3"/>
        <v>0.3636520879225284</v>
      </c>
      <c r="AB31" s="4">
        <f t="shared" si="3"/>
        <v>0.43893256874498932</v>
      </c>
      <c r="AC31" s="4">
        <f t="shared" si="3"/>
        <v>0.30631166545204341</v>
      </c>
      <c r="AD31" s="4">
        <f t="shared" si="3"/>
        <v>0.34620267759039403</v>
      </c>
      <c r="AE31" s="4">
        <f t="shared" si="3"/>
        <v>0.34748565695756239</v>
      </c>
      <c r="AF31" s="4">
        <f t="shared" si="3"/>
        <v>0.21735180636683185</v>
      </c>
      <c r="AG31" s="4">
        <f t="shared" si="3"/>
        <v>0.36017256838296446</v>
      </c>
      <c r="AH31" s="4">
        <f t="shared" si="3"/>
        <v>0.4224756252502036</v>
      </c>
    </row>
    <row r="32" spans="3:34">
      <c r="C32" s="36">
        <f t="shared" si="4"/>
        <v>2032</v>
      </c>
      <c r="D32" s="4">
        <v>21488.55212145087</v>
      </c>
      <c r="E32" s="4">
        <v>20336.641931986709</v>
      </c>
      <c r="F32" s="4">
        <v>18291.370576985304</v>
      </c>
      <c r="G32" s="4">
        <v>13027.20578512785</v>
      </c>
      <c r="H32" s="4">
        <v>21734.137257947128</v>
      </c>
      <c r="I32" s="4">
        <v>25355.2215873479</v>
      </c>
      <c r="J32" s="4">
        <v>11415.517335268996</v>
      </c>
      <c r="K32" s="4">
        <v>21948.026117628524</v>
      </c>
      <c r="L32" s="4">
        <v>26753.021177525356</v>
      </c>
      <c r="M32" s="4">
        <v>18147.361464801212</v>
      </c>
      <c r="N32" s="4">
        <v>20873.24555469523</v>
      </c>
      <c r="O32" s="4">
        <v>21095.957610926438</v>
      </c>
      <c r="P32" s="4">
        <v>12750.786588772786</v>
      </c>
      <c r="Q32" s="4">
        <v>21711.789331575001</v>
      </c>
      <c r="R32" s="4">
        <v>25653.988710075093</v>
      </c>
      <c r="T32" s="4">
        <f t="shared" si="3"/>
        <v>0.3574481052527787</v>
      </c>
      <c r="U32" s="4">
        <f t="shared" si="3"/>
        <v>0.33828682754927497</v>
      </c>
      <c r="V32" s="4">
        <f t="shared" si="3"/>
        <v>0.30426506719794638</v>
      </c>
      <c r="W32" s="4">
        <f t="shared" si="3"/>
        <v>0.21669910556624253</v>
      </c>
      <c r="X32" s="4">
        <f t="shared" si="3"/>
        <v>0.36153325446258527</v>
      </c>
      <c r="Y32" s="4">
        <f t="shared" si="3"/>
        <v>0.42176763997117217</v>
      </c>
      <c r="Z32" s="4">
        <f t="shared" si="3"/>
        <v>0.18988971517996564</v>
      </c>
      <c r="AA32" s="4">
        <f t="shared" si="3"/>
        <v>0.36509115669795611</v>
      </c>
      <c r="AB32" s="4">
        <f t="shared" si="3"/>
        <v>0.44501912812207822</v>
      </c>
      <c r="AC32" s="4">
        <f t="shared" si="3"/>
        <v>0.30186956916725527</v>
      </c>
      <c r="AD32" s="4">
        <f t="shared" si="3"/>
        <v>0.34721288022722469</v>
      </c>
      <c r="AE32" s="4">
        <f t="shared" si="3"/>
        <v>0.35091755060552005</v>
      </c>
      <c r="AF32" s="4">
        <f t="shared" si="3"/>
        <v>0.21210105180095506</v>
      </c>
      <c r="AG32" s="4">
        <f t="shared" si="3"/>
        <v>0.36116151122493495</v>
      </c>
      <c r="AH32" s="4">
        <f t="shared" si="3"/>
        <v>0.42673743697410998</v>
      </c>
    </row>
    <row r="33" spans="3:34">
      <c r="C33" s="36">
        <f t="shared" si="4"/>
        <v>2033</v>
      </c>
      <c r="D33" s="4">
        <v>21405.239329382832</v>
      </c>
      <c r="E33" s="4">
        <v>20609.712390949007</v>
      </c>
      <c r="F33" s="4">
        <v>18702.778556395264</v>
      </c>
      <c r="G33" s="4">
        <v>12698.460145079458</v>
      </c>
      <c r="H33" s="4">
        <v>22040.118135146276</v>
      </c>
      <c r="I33" s="4">
        <v>25979.151996501372</v>
      </c>
      <c r="J33" s="4">
        <v>11089.0442451978</v>
      </c>
      <c r="K33" s="4">
        <v>22249.047853549637</v>
      </c>
      <c r="L33" s="4">
        <v>27379.638177979668</v>
      </c>
      <c r="M33" s="4">
        <v>18071.447854424852</v>
      </c>
      <c r="N33" s="4">
        <v>21142.187855949371</v>
      </c>
      <c r="O33" s="4">
        <v>21504.094566352884</v>
      </c>
      <c r="P33" s="4">
        <v>12571.399483410731</v>
      </c>
      <c r="Q33" s="4">
        <v>21985.930221658407</v>
      </c>
      <c r="R33" s="4">
        <v>26160.400571657963</v>
      </c>
      <c r="T33" s="4">
        <f t="shared" si="3"/>
        <v>0.35253688225541902</v>
      </c>
      <c r="U33" s="4">
        <f t="shared" si="3"/>
        <v>0.33943482895388533</v>
      </c>
      <c r="V33" s="4">
        <f t="shared" si="3"/>
        <v>0.30802828879069571</v>
      </c>
      <c r="W33" s="4">
        <f t="shared" si="3"/>
        <v>0.20913924297243922</v>
      </c>
      <c r="X33" s="4">
        <f t="shared" si="3"/>
        <v>0.36299311642079246</v>
      </c>
      <c r="Y33" s="4">
        <f t="shared" si="3"/>
        <v>0.42786764060676841</v>
      </c>
      <c r="Z33" s="4">
        <f t="shared" si="3"/>
        <v>0.1826327202064105</v>
      </c>
      <c r="AA33" s="4">
        <f t="shared" si="3"/>
        <v>0.36643411656113273</v>
      </c>
      <c r="AB33" s="4">
        <f t="shared" si="3"/>
        <v>0.4509331632324568</v>
      </c>
      <c r="AC33" s="4">
        <f t="shared" si="3"/>
        <v>0.2976304906666048</v>
      </c>
      <c r="AD33" s="4">
        <f t="shared" si="3"/>
        <v>0.34820451554417042</v>
      </c>
      <c r="AE33" s="4">
        <f t="shared" si="3"/>
        <v>0.35416499378922484</v>
      </c>
      <c r="AF33" s="4">
        <f t="shared" si="3"/>
        <v>0.20704659785725399</v>
      </c>
      <c r="AG33" s="4">
        <f t="shared" si="3"/>
        <v>0.36210066024298571</v>
      </c>
      <c r="AH33" s="4">
        <f t="shared" si="3"/>
        <v>0.43085274189976031</v>
      </c>
    </row>
    <row r="34" spans="3:34">
      <c r="C34" s="36">
        <f t="shared" si="4"/>
        <v>2034</v>
      </c>
      <c r="D34" s="4">
        <v>21313.554162534714</v>
      </c>
      <c r="E34" s="4">
        <v>20886.2653791376</v>
      </c>
      <c r="F34" s="4">
        <v>19125.088037822061</v>
      </c>
      <c r="G34" s="4">
        <v>12435.920010333659</v>
      </c>
      <c r="H34" s="4">
        <v>22347.396543778254</v>
      </c>
      <c r="I34" s="4">
        <v>26541.591025382462</v>
      </c>
      <c r="J34" s="4">
        <v>10867.645365240656</v>
      </c>
      <c r="K34" s="4">
        <v>22551.806057065027</v>
      </c>
      <c r="L34" s="4">
        <v>27905.456157188695</v>
      </c>
      <c r="M34" s="4">
        <v>18031.964594230318</v>
      </c>
      <c r="N34" s="4">
        <v>21411.698320013857</v>
      </c>
      <c r="O34" s="4">
        <v>21881.244665250204</v>
      </c>
      <c r="P34" s="4">
        <v>12431.180753256602</v>
      </c>
      <c r="Q34" s="4">
        <v>22261.964176402042</v>
      </c>
      <c r="R34" s="4">
        <v>26631.762649835731</v>
      </c>
      <c r="T34" s="4">
        <f t="shared" si="3"/>
        <v>0.34755134583621405</v>
      </c>
      <c r="U34" s="4">
        <f t="shared" si="3"/>
        <v>0.34058372370252832</v>
      </c>
      <c r="V34" s="4">
        <f t="shared" si="3"/>
        <v>0.31186493046125757</v>
      </c>
      <c r="W34" s="4">
        <f t="shared" si="3"/>
        <v>0.20278742359641061</v>
      </c>
      <c r="X34" s="4">
        <f t="shared" si="3"/>
        <v>0.36440978756975251</v>
      </c>
      <c r="Y34" s="4">
        <f t="shared" si="3"/>
        <v>0.43280278883383677</v>
      </c>
      <c r="Z34" s="4">
        <f t="shared" si="3"/>
        <v>0.17721421514012267</v>
      </c>
      <c r="AA34" s="4">
        <f t="shared" si="3"/>
        <v>0.36774300927941106</v>
      </c>
      <c r="AB34" s="4">
        <f t="shared" si="3"/>
        <v>0.45504277558046624</v>
      </c>
      <c r="AC34" s="4">
        <f t="shared" si="3"/>
        <v>0.2940398168697736</v>
      </c>
      <c r="AD34" s="4">
        <f t="shared" si="3"/>
        <v>0.3491517421735737</v>
      </c>
      <c r="AE34" s="4">
        <f t="shared" si="3"/>
        <v>0.35680844095665271</v>
      </c>
      <c r="AF34" s="4">
        <f t="shared" si="3"/>
        <v>0.20271014248398639</v>
      </c>
      <c r="AG34" s="4">
        <f t="shared" si="3"/>
        <v>0.36301667715592162</v>
      </c>
      <c r="AH34" s="4">
        <f t="shared" si="3"/>
        <v>0.43427318036009194</v>
      </c>
    </row>
    <row r="35" spans="3:34">
      <c r="C35" s="36">
        <f t="shared" si="4"/>
        <v>2035</v>
      </c>
      <c r="D35" s="4">
        <v>21222.635822855962</v>
      </c>
      <c r="E35" s="4">
        <v>21167.239662494634</v>
      </c>
      <c r="F35" s="4">
        <v>19548.281169938728</v>
      </c>
      <c r="G35" s="4">
        <v>12196.399636009219</v>
      </c>
      <c r="H35" s="4">
        <v>22642.016785492495</v>
      </c>
      <c r="I35" s="4">
        <v>27099.740233787605</v>
      </c>
      <c r="J35" s="4">
        <v>10671.612636553229</v>
      </c>
      <c r="K35" s="4">
        <v>22832.51737464494</v>
      </c>
      <c r="L35" s="4">
        <v>28434.026644091151</v>
      </c>
      <c r="M35" s="4">
        <v>18011.264925756601</v>
      </c>
      <c r="N35" s="4">
        <v>21676.132449270008</v>
      </c>
      <c r="O35" s="4">
        <v>22250.759280262715</v>
      </c>
      <c r="P35" s="4">
        <v>12310.948492229852</v>
      </c>
      <c r="Q35" s="4">
        <v>22532.311666469166</v>
      </c>
      <c r="R35" s="4">
        <v>27094.896496590307</v>
      </c>
      <c r="T35" s="4">
        <f t="shared" si="3"/>
        <v>0.34264235438856278</v>
      </c>
      <c r="U35" s="4">
        <f t="shared" si="3"/>
        <v>0.3417479758123706</v>
      </c>
      <c r="V35" s="4">
        <f t="shared" si="3"/>
        <v>0.31560966979906668</v>
      </c>
      <c r="W35" s="4">
        <f t="shared" si="3"/>
        <v>0.1969125381610414</v>
      </c>
      <c r="X35" s="4">
        <f t="shared" si="3"/>
        <v>0.36555845391887265</v>
      </c>
      <c r="Y35" s="4">
        <f t="shared" si="3"/>
        <v>0.43752900792008592</v>
      </c>
      <c r="Z35" s="4">
        <f t="shared" si="3"/>
        <v>0.17229464376773485</v>
      </c>
      <c r="AA35" s="4">
        <f t="shared" si="3"/>
        <v>0.36863411195326745</v>
      </c>
      <c r="AB35" s="4">
        <f t="shared" si="3"/>
        <v>0.4590712442789977</v>
      </c>
      <c r="AC35" s="4">
        <f t="shared" si="3"/>
        <v>0.29079433257913234</v>
      </c>
      <c r="AD35" s="4">
        <f t="shared" si="3"/>
        <v>0.34996411937000932</v>
      </c>
      <c r="AE35" s="4">
        <f t="shared" si="3"/>
        <v>0.35924154805085845</v>
      </c>
      <c r="AF35" s="4">
        <f t="shared" si="3"/>
        <v>0.19876194509218637</v>
      </c>
      <c r="AG35" s="4">
        <f t="shared" si="3"/>
        <v>0.36378724978643645</v>
      </c>
      <c r="AH35" s="4">
        <f t="shared" si="3"/>
        <v>0.4374508051213773</v>
      </c>
    </row>
    <row r="36" spans="3:34">
      <c r="C36" s="36">
        <f t="shared" si="4"/>
        <v>2036</v>
      </c>
      <c r="D36" s="4">
        <v>21136.924639425568</v>
      </c>
      <c r="E36" s="4">
        <v>21450.158913320229</v>
      </c>
      <c r="F36" s="4">
        <v>19970.454669096409</v>
      </c>
      <c r="G36" s="4">
        <v>11958.35061022761</v>
      </c>
      <c r="H36" s="4">
        <v>22936.919617290456</v>
      </c>
      <c r="I36" s="4">
        <v>27662.267994324146</v>
      </c>
      <c r="J36" s="4">
        <v>10479.985563645192</v>
      </c>
      <c r="K36" s="4">
        <v>23116.925983975019</v>
      </c>
      <c r="L36" s="4">
        <v>28960.626674222</v>
      </c>
      <c r="M36" s="4">
        <v>17985.734280132314</v>
      </c>
      <c r="N36" s="4">
        <v>21940.807957653829</v>
      </c>
      <c r="O36" s="4">
        <v>22630.995984056062</v>
      </c>
      <c r="P36" s="4">
        <v>12201.597787599729</v>
      </c>
      <c r="Q36" s="4">
        <v>22802.184869602257</v>
      </c>
      <c r="R36" s="4">
        <v>27553.755564640225</v>
      </c>
      <c r="T36" s="4">
        <f t="shared" si="3"/>
        <v>0.33787973824145034</v>
      </c>
      <c r="U36" s="4">
        <f t="shared" si="3"/>
        <v>0.3428868769939995</v>
      </c>
      <c r="V36" s="4">
        <f t="shared" si="3"/>
        <v>0.31923338476455021</v>
      </c>
      <c r="W36" s="4">
        <f t="shared" si="3"/>
        <v>0.19115762784367857</v>
      </c>
      <c r="X36" s="4">
        <f t="shared" si="3"/>
        <v>0.36665316873485831</v>
      </c>
      <c r="Y36" s="4">
        <f t="shared" si="3"/>
        <v>0.44218920342146328</v>
      </c>
      <c r="Z36" s="4">
        <f t="shared" si="3"/>
        <v>0.16752554306854206</v>
      </c>
      <c r="AA36" s="4">
        <f t="shared" si="3"/>
        <v>0.36953062158548394</v>
      </c>
      <c r="AB36" s="4">
        <f t="shared" si="3"/>
        <v>0.46294383534597411</v>
      </c>
      <c r="AC36" s="4">
        <f t="shared" si="3"/>
        <v>0.28750706615645766</v>
      </c>
      <c r="AD36" s="4">
        <f t="shared" si="3"/>
        <v>0.35073004119578849</v>
      </c>
      <c r="AE36" s="4">
        <f t="shared" si="3"/>
        <v>0.36176289264775391</v>
      </c>
      <c r="AF36" s="4">
        <f t="shared" si="3"/>
        <v>0.19504600299855621</v>
      </c>
      <c r="AG36" s="4">
        <f t="shared" si="3"/>
        <v>0.36449939556030653</v>
      </c>
      <c r="AH36" s="4">
        <f t="shared" si="3"/>
        <v>0.44045460144113741</v>
      </c>
    </row>
    <row r="37" spans="3:34">
      <c r="C37" s="36">
        <f t="shared" si="4"/>
        <v>2037</v>
      </c>
      <c r="D37" s="4">
        <v>21059.644182874083</v>
      </c>
      <c r="E37" s="4">
        <v>21736.9557576687</v>
      </c>
      <c r="F37" s="4">
        <v>20386.51366351785</v>
      </c>
      <c r="G37" s="4">
        <v>11728.897228211299</v>
      </c>
      <c r="H37" s="4">
        <v>23235.24264795654</v>
      </c>
      <c r="I37" s="4">
        <v>28218.973727892793</v>
      </c>
      <c r="J37" s="4">
        <v>10302.073705052646</v>
      </c>
      <c r="K37" s="4">
        <v>23403.105313717588</v>
      </c>
      <c r="L37" s="4">
        <v>29477.934585290401</v>
      </c>
      <c r="M37" s="4">
        <v>17967.781100098367</v>
      </c>
      <c r="N37" s="4">
        <v>22212.061520317537</v>
      </c>
      <c r="O37" s="4">
        <v>23003.270983644732</v>
      </c>
      <c r="P37" s="4">
        <v>12104.314896658983</v>
      </c>
      <c r="Q37" s="4">
        <v>23074.397659009268</v>
      </c>
      <c r="R37" s="4">
        <v>28004.401048392381</v>
      </c>
      <c r="T37" s="4">
        <f t="shared" si="3"/>
        <v>0.33331127545953398</v>
      </c>
      <c r="U37" s="4">
        <f t="shared" si="3"/>
        <v>0.34403109498345008</v>
      </c>
      <c r="V37" s="4">
        <f t="shared" si="3"/>
        <v>0.32265762955701593</v>
      </c>
      <c r="W37" s="4">
        <f t="shared" si="3"/>
        <v>0.18563341625914284</v>
      </c>
      <c r="X37" s="4">
        <f t="shared" si="3"/>
        <v>0.36774450201300724</v>
      </c>
      <c r="Y37" s="4">
        <f t="shared" si="3"/>
        <v>0.4466220817278499</v>
      </c>
      <c r="Z37" s="4">
        <f t="shared" si="3"/>
        <v>0.16305106091496185</v>
      </c>
      <c r="AA37" s="4">
        <f t="shared" si="3"/>
        <v>0.37040126671145124</v>
      </c>
      <c r="AB37" s="4">
        <f t="shared" si="3"/>
        <v>0.46654767237358685</v>
      </c>
      <c r="AC37" s="4">
        <f t="shared" si="3"/>
        <v>0.28437631631600407</v>
      </c>
      <c r="AD37" s="4">
        <f t="shared" si="3"/>
        <v>0.3515506003631011</v>
      </c>
      <c r="AE37" s="4">
        <f t="shared" si="3"/>
        <v>0.36407308332089483</v>
      </c>
      <c r="AF37" s="4">
        <f t="shared" si="3"/>
        <v>0.19157515681343482</v>
      </c>
      <c r="AG37" s="4">
        <f t="shared" si="3"/>
        <v>0.36519880618112383</v>
      </c>
      <c r="AH37" s="4">
        <f t="shared" si="3"/>
        <v>0.44322603700544128</v>
      </c>
    </row>
    <row r="38" spans="3:34">
      <c r="C38" s="36">
        <f t="shared" si="4"/>
        <v>2038</v>
      </c>
      <c r="D38" s="4">
        <v>20981.220102599018</v>
      </c>
      <c r="E38" s="4">
        <v>22021.402497822535</v>
      </c>
      <c r="F38" s="4">
        <v>20812.32213967968</v>
      </c>
      <c r="G38" s="4">
        <v>11500.941648418866</v>
      </c>
      <c r="H38" s="4">
        <v>23533.771778470054</v>
      </c>
      <c r="I38" s="4">
        <v>28780.231313212316</v>
      </c>
      <c r="J38" s="4">
        <v>10131.176641791648</v>
      </c>
      <c r="K38" s="4">
        <v>23688.8235961262</v>
      </c>
      <c r="L38" s="4">
        <v>29994.944502183389</v>
      </c>
      <c r="M38" s="4">
        <v>17952.742282318854</v>
      </c>
      <c r="N38" s="4">
        <v>22481.614390769395</v>
      </c>
      <c r="O38" s="4">
        <v>23380.588067012988</v>
      </c>
      <c r="P38" s="4">
        <v>12016.894209076017</v>
      </c>
      <c r="Q38" s="4">
        <v>23346.199773712728</v>
      </c>
      <c r="R38" s="4">
        <v>28451.850757312488</v>
      </c>
      <c r="T38" s="4">
        <f t="shared" si="3"/>
        <v>0.32878223413103491</v>
      </c>
      <c r="U38" s="4">
        <f t="shared" si="3"/>
        <v>0.34508221526335214</v>
      </c>
      <c r="V38" s="4">
        <f t="shared" si="3"/>
        <v>0.32613555060561294</v>
      </c>
      <c r="W38" s="4">
        <f t="shared" si="3"/>
        <v>0.18022332692222309</v>
      </c>
      <c r="X38" s="4">
        <f t="shared" si="3"/>
        <v>0.36878151151451927</v>
      </c>
      <c r="Y38" s="4">
        <f t="shared" si="3"/>
        <v>0.45099516156325764</v>
      </c>
      <c r="Z38" s="4">
        <f t="shared" si="3"/>
        <v>0.15875868392667006</v>
      </c>
      <c r="AA38" s="4">
        <f t="shared" si="3"/>
        <v>0.37121122164413894</v>
      </c>
      <c r="AB38" s="4">
        <f t="shared" si="3"/>
        <v>0.47003009442919097</v>
      </c>
      <c r="AC38" s="4">
        <f t="shared" si="3"/>
        <v>0.28132504627928279</v>
      </c>
      <c r="AD38" s="4">
        <f t="shared" si="3"/>
        <v>0.35229387853159067</v>
      </c>
      <c r="AE38" s="4">
        <f t="shared" si="3"/>
        <v>0.36638107518912655</v>
      </c>
      <c r="AF38" s="4">
        <f t="shared" si="3"/>
        <v>0.18830846376216659</v>
      </c>
      <c r="AG38" s="4">
        <f t="shared" si="3"/>
        <v>0.36584219995480155</v>
      </c>
      <c r="AH38" s="4">
        <f t="shared" si="3"/>
        <v>0.44584933628303181</v>
      </c>
    </row>
    <row r="39" spans="3:34">
      <c r="C39" s="36">
        <f t="shared" si="4"/>
        <v>2039</v>
      </c>
      <c r="D39" s="4">
        <v>20896.133383905591</v>
      </c>
      <c r="E39" s="4">
        <v>22309.687265363234</v>
      </c>
      <c r="F39" s="4">
        <v>21247.273538233429</v>
      </c>
      <c r="G39" s="4">
        <v>11278.676146595773</v>
      </c>
      <c r="H39" s="4">
        <v>23834.31180269942</v>
      </c>
      <c r="I39" s="4">
        <v>29340.10623820706</v>
      </c>
      <c r="J39" s="4">
        <v>9966.4064467408498</v>
      </c>
      <c r="K39" s="4">
        <v>23975.957158144505</v>
      </c>
      <c r="L39" s="4">
        <v>30510.730582616896</v>
      </c>
      <c r="M39" s="4">
        <v>17936.730904918779</v>
      </c>
      <c r="N39" s="4">
        <v>22754.41933286277</v>
      </c>
      <c r="O39" s="4">
        <v>23761.943949720706</v>
      </c>
      <c r="P39" s="4">
        <v>11936.499903292095</v>
      </c>
      <c r="Q39" s="4">
        <v>23618.857602914461</v>
      </c>
      <c r="R39" s="4">
        <v>28897.736681295697</v>
      </c>
      <c r="T39" s="4">
        <f t="shared" ref="T39:AH40" si="5">D39/SUM($D39:$F39)</f>
        <v>0.32420683052261356</v>
      </c>
      <c r="U39" s="4">
        <f t="shared" si="5"/>
        <v>0.34613834365285107</v>
      </c>
      <c r="V39" s="4">
        <f t="shared" si="5"/>
        <v>0.32965482582453537</v>
      </c>
      <c r="W39" s="4">
        <f t="shared" si="5"/>
        <v>0.17499045296079455</v>
      </c>
      <c r="X39" s="4">
        <f t="shared" si="5"/>
        <v>0.36979313566176314</v>
      </c>
      <c r="Y39" s="4">
        <f t="shared" si="5"/>
        <v>0.45521641137744229</v>
      </c>
      <c r="Z39" s="4">
        <f t="shared" si="5"/>
        <v>0.1546303800054549</v>
      </c>
      <c r="AA39" s="4">
        <f t="shared" si="5"/>
        <v>0.37199078586352108</v>
      </c>
      <c r="AB39" s="4">
        <f t="shared" si="5"/>
        <v>0.473378834131024</v>
      </c>
      <c r="AC39" s="4">
        <f t="shared" si="5"/>
        <v>0.27829123071638029</v>
      </c>
      <c r="AD39" s="4">
        <f t="shared" si="5"/>
        <v>0.35303843236241333</v>
      </c>
      <c r="AE39" s="4">
        <f t="shared" si="5"/>
        <v>0.36867033692120638</v>
      </c>
      <c r="AF39" s="4">
        <f t="shared" si="5"/>
        <v>0.18519669309540512</v>
      </c>
      <c r="AG39" s="4">
        <f t="shared" si="5"/>
        <v>0.36645032950945999</v>
      </c>
      <c r="AH39" s="4">
        <f t="shared" si="5"/>
        <v>0.44835297739513486</v>
      </c>
    </row>
    <row r="40" spans="3:34">
      <c r="C40" s="36">
        <f t="shared" si="4"/>
        <v>2040</v>
      </c>
      <c r="D40" s="4">
        <v>20821.033464952863</v>
      </c>
      <c r="E40" s="4">
        <v>22603.796325507603</v>
      </c>
      <c r="F40" s="4">
        <v>21672.795338916807</v>
      </c>
      <c r="G40" s="4">
        <v>11064.922782734224</v>
      </c>
      <c r="H40" s="4">
        <v>24136.078433297462</v>
      </c>
      <c r="I40" s="4">
        <v>29896.623913345589</v>
      </c>
      <c r="J40" s="4">
        <v>9810.2126810672762</v>
      </c>
      <c r="K40" s="4">
        <v>24265.114818617858</v>
      </c>
      <c r="L40" s="4">
        <v>31022.297629692141</v>
      </c>
      <c r="M40" s="4">
        <v>17928.767520778099</v>
      </c>
      <c r="N40" s="4">
        <v>23031.246167098921</v>
      </c>
      <c r="O40" s="4">
        <v>24137.611441500259</v>
      </c>
      <c r="P40" s="4">
        <v>11867.213774170772</v>
      </c>
      <c r="Q40" s="4">
        <v>23893.948550783356</v>
      </c>
      <c r="R40" s="4">
        <v>29336.462804423143</v>
      </c>
      <c r="T40" s="4">
        <f t="shared" si="5"/>
        <v>0.31984321123193693</v>
      </c>
      <c r="U40" s="4">
        <f t="shared" si="5"/>
        <v>0.34722920045983297</v>
      </c>
      <c r="V40" s="4">
        <f t="shared" si="5"/>
        <v>0.33292758830822999</v>
      </c>
      <c r="W40" s="4">
        <f t="shared" si="5"/>
        <v>0.16997429262194147</v>
      </c>
      <c r="X40" s="4">
        <f t="shared" si="5"/>
        <v>0.37076741870887886</v>
      </c>
      <c r="Y40" s="4">
        <f t="shared" si="5"/>
        <v>0.45925828866917956</v>
      </c>
      <c r="Z40" s="4">
        <f t="shared" si="5"/>
        <v>0.15070000881860313</v>
      </c>
      <c r="AA40" s="4">
        <f t="shared" si="5"/>
        <v>0.37274961675472074</v>
      </c>
      <c r="AB40" s="4">
        <f t="shared" si="5"/>
        <v>0.47655037442667608</v>
      </c>
      <c r="AC40" s="4">
        <f t="shared" si="5"/>
        <v>0.27541354212455282</v>
      </c>
      <c r="AD40" s="4">
        <f t="shared" si="5"/>
        <v>0.35379548979437919</v>
      </c>
      <c r="AE40" s="4">
        <f t="shared" si="5"/>
        <v>0.37079096808106798</v>
      </c>
      <c r="AF40" s="4">
        <f t="shared" si="5"/>
        <v>0.18229872058443697</v>
      </c>
      <c r="AG40" s="4">
        <f t="shared" si="5"/>
        <v>0.36704792998662689</v>
      </c>
      <c r="AH40" s="4">
        <f t="shared" si="5"/>
        <v>0.45065334942893598</v>
      </c>
    </row>
    <row r="41" spans="3:34">
      <c r="D41" s="4">
        <f>SUM(D40:F40)</f>
        <v>65097.62512937728</v>
      </c>
      <c r="G41" s="4">
        <f>SUM(G40:I40)</f>
        <v>65097.625129377273</v>
      </c>
      <c r="J41" s="4">
        <f>SUM(J40:L40)</f>
        <v>65097.625129377273</v>
      </c>
      <c r="M41" s="4">
        <f>SUM(M40:O40)</f>
        <v>65097.62512937728</v>
      </c>
      <c r="P41" s="4">
        <f>SUM(P40:R40)</f>
        <v>65097.625129377273</v>
      </c>
    </row>
    <row r="42" spans="3:34">
      <c r="C42" s="4" t="s">
        <v>281</v>
      </c>
      <c r="E42" s="4" t="s">
        <v>272</v>
      </c>
      <c r="F42" s="4" t="s">
        <v>273</v>
      </c>
      <c r="G42" s="4" t="s">
        <v>275</v>
      </c>
      <c r="H42" s="4" t="s">
        <v>277</v>
      </c>
      <c r="I42" s="4" t="s">
        <v>279</v>
      </c>
    </row>
    <row r="43" spans="3:34">
      <c r="D43" s="36">
        <v>2007</v>
      </c>
      <c r="E43" s="4">
        <v>1763.1558581692218</v>
      </c>
      <c r="F43" s="4">
        <v>1763.1558581692218</v>
      </c>
      <c r="G43" s="4">
        <v>1763.1558581692218</v>
      </c>
      <c r="H43" s="4">
        <v>1763.1558581692218</v>
      </c>
      <c r="I43" s="4">
        <v>1763.1558581692218</v>
      </c>
      <c r="P43" s="4">
        <v>1</v>
      </c>
      <c r="Q43" s="4">
        <f>P43+1</f>
        <v>2</v>
      </c>
      <c r="R43" s="4">
        <f>Q43+1</f>
        <v>3</v>
      </c>
      <c r="S43" s="4">
        <f>R43+1</f>
        <v>4</v>
      </c>
      <c r="T43" s="4">
        <f>S43+1</f>
        <v>5</v>
      </c>
      <c r="W43" s="4">
        <f>P43</f>
        <v>1</v>
      </c>
      <c r="X43" s="4">
        <f>Q43</f>
        <v>2</v>
      </c>
      <c r="Y43" s="4">
        <f>R43</f>
        <v>3</v>
      </c>
      <c r="Z43" s="4">
        <f>S43</f>
        <v>4</v>
      </c>
      <c r="AA43" s="4">
        <f>T43</f>
        <v>5</v>
      </c>
    </row>
    <row r="44" spans="3:34">
      <c r="D44" s="36">
        <f>D43+1</f>
        <v>2008</v>
      </c>
      <c r="E44" s="4">
        <v>1804.5324384705268</v>
      </c>
      <c r="F44" s="4">
        <v>1804.5324384714409</v>
      </c>
      <c r="G44" s="4">
        <v>1804.5324384714395</v>
      </c>
      <c r="H44" s="4">
        <v>1804.5324384714449</v>
      </c>
      <c r="I44" s="4">
        <v>1804.5324384474238</v>
      </c>
      <c r="O44" s="4" t="s">
        <v>407</v>
      </c>
      <c r="P44" s="5" t="s">
        <v>282</v>
      </c>
      <c r="W44" s="5" t="s">
        <v>283</v>
      </c>
      <c r="AD44" s="5" t="s">
        <v>303</v>
      </c>
    </row>
    <row r="45" spans="3:34">
      <c r="D45" s="36">
        <f t="shared" ref="D45:D76" si="6">D44+1</f>
        <v>2009</v>
      </c>
      <c r="E45" s="4">
        <v>1845.8979544141246</v>
      </c>
      <c r="F45" s="4">
        <v>1845.8970089947395</v>
      </c>
      <c r="G45" s="4">
        <v>1845.896449921428</v>
      </c>
      <c r="H45" s="4">
        <v>1845.8977683519047</v>
      </c>
      <c r="I45" s="4">
        <v>1845.8968588036148</v>
      </c>
      <c r="J45" s="8"/>
      <c r="K45" s="8"/>
      <c r="L45" s="8"/>
      <c r="M45" s="8"/>
      <c r="N45" s="8"/>
      <c r="P45" s="4" t="str">
        <f>INDEX($E$42:$I$42,0,P43)</f>
        <v>base</v>
      </c>
      <c r="Q45" s="4" t="str">
        <f>INDEX($E$42:$I$42,0,Q43)</f>
        <v>sim1</v>
      </c>
      <c r="R45" s="4" t="str">
        <f>INDEX($E$42:$I$42,0,R43)</f>
        <v>sim2</v>
      </c>
      <c r="S45" s="4" t="str">
        <f>INDEX($E$42:$I$42,0,S43)</f>
        <v>sim3</v>
      </c>
      <c r="T45" s="4" t="str">
        <f>INDEX($E$42:$I$42,0,T43)</f>
        <v>sim4</v>
      </c>
      <c r="W45" s="4" t="str">
        <f>INDEX($E$42:$I$42,0,W43)</f>
        <v>base</v>
      </c>
      <c r="X45" s="4" t="str">
        <f>INDEX($E$42:$I$42,0,X43)</f>
        <v>sim1</v>
      </c>
      <c r="Y45" s="4" t="str">
        <f>INDEX($E$42:$I$42,0,Y43)</f>
        <v>sim2</v>
      </c>
      <c r="Z45" s="4" t="str">
        <f>INDEX($E$42:$I$42,0,Z43)</f>
        <v>sim3</v>
      </c>
      <c r="AA45" s="4" t="str">
        <f>INDEX($E$42:$I$42,0,AA43)</f>
        <v>sim4</v>
      </c>
      <c r="AD45" s="4" t="s">
        <v>272</v>
      </c>
      <c r="AE45" s="4" t="s">
        <v>273</v>
      </c>
      <c r="AF45" s="4" t="s">
        <v>275</v>
      </c>
      <c r="AG45" s="4" t="s">
        <v>277</v>
      </c>
      <c r="AH45" s="4" t="s">
        <v>279</v>
      </c>
    </row>
    <row r="46" spans="3:34">
      <c r="D46" s="36">
        <f t="shared" si="6"/>
        <v>2010</v>
      </c>
      <c r="E46" s="4">
        <v>1888.3130375536994</v>
      </c>
      <c r="F46" s="4">
        <v>1888.3148488508309</v>
      </c>
      <c r="G46" s="4">
        <v>1888.3156917559745</v>
      </c>
      <c r="H46" s="4">
        <v>1888.3134351879098</v>
      </c>
      <c r="I46" s="4">
        <v>1888.3150910744359</v>
      </c>
      <c r="O46" s="4">
        <v>2007</v>
      </c>
      <c r="P46" s="24">
        <f t="shared" ref="P46:T55" si="7">INDEX($T$4:$AH$40,MATCH($O46,$C$4:$C$40,0),MATCH(P$45&amp;$P$44,$T$4:$AH$4,0))</f>
        <v>0.50003199863472492</v>
      </c>
      <c r="Q46" s="24">
        <f t="shared" si="7"/>
        <v>0.50003199863472492</v>
      </c>
      <c r="R46" s="24">
        <f t="shared" si="7"/>
        <v>0.50003199863472492</v>
      </c>
      <c r="S46" s="24">
        <f t="shared" si="7"/>
        <v>0.50003199863472492</v>
      </c>
      <c r="T46" s="24">
        <f t="shared" si="7"/>
        <v>0.50003199863472492</v>
      </c>
      <c r="W46" s="24">
        <f>INDEX($T$4:$AH$40,MATCH($O46,$C$4:$C$40,0),MATCH(W$45&amp;$W$44,$T$4:$AH$4,0))</f>
        <v>0.30001919918083497</v>
      </c>
      <c r="X46" s="24">
        <f t="shared" ref="X46:AA61" si="8">INDEX($T$4:$AH$40,MATCH($O46,$C$4:$C$40,0),MATCH(X$45&amp;$W$44,$T$4:$AH$4,0))</f>
        <v>0.30001919918083497</v>
      </c>
      <c r="Y46" s="24">
        <f t="shared" si="8"/>
        <v>0.30001919918083497</v>
      </c>
      <c r="Z46" s="24">
        <f t="shared" si="8"/>
        <v>0.30001919918083497</v>
      </c>
      <c r="AA46" s="24">
        <f t="shared" si="8"/>
        <v>0.30001919918083497</v>
      </c>
      <c r="AD46" s="134">
        <v>0.11215628075508476</v>
      </c>
      <c r="AE46" s="134">
        <v>0.11215628075508476</v>
      </c>
      <c r="AF46" s="134">
        <v>0.11215628075508476</v>
      </c>
      <c r="AG46" s="134">
        <v>0.11215628075508476</v>
      </c>
      <c r="AH46" s="134">
        <v>0.11215628075508476</v>
      </c>
    </row>
    <row r="47" spans="3:34">
      <c r="D47" s="36">
        <f t="shared" si="6"/>
        <v>2011</v>
      </c>
      <c r="E47" s="4">
        <v>1931.11028360467</v>
      </c>
      <c r="F47" s="4">
        <v>1931.1213167211145</v>
      </c>
      <c r="G47" s="4">
        <v>1931.1272158145937</v>
      </c>
      <c r="H47" s="4">
        <v>1931.1125690784909</v>
      </c>
      <c r="I47" s="4">
        <v>1931.1229445448678</v>
      </c>
      <c r="O47" s="4">
        <f>O46+1</f>
        <v>2008</v>
      </c>
      <c r="P47" s="24">
        <f t="shared" si="7"/>
        <v>0.49083032025929479</v>
      </c>
      <c r="Q47" s="24">
        <f t="shared" si="7"/>
        <v>0.49083032025982193</v>
      </c>
      <c r="R47" s="24">
        <f t="shared" si="7"/>
        <v>0.49083032025970963</v>
      </c>
      <c r="S47" s="24">
        <f t="shared" si="7"/>
        <v>0.49083032025981077</v>
      </c>
      <c r="T47" s="24">
        <f t="shared" si="7"/>
        <v>0.49083032031743451</v>
      </c>
      <c r="W47" s="24">
        <f t="shared" ref="W47:AA79" si="9">INDEX($T$4:$AH$40,MATCH($O47,$C$4:$C$40,0),MATCH(W$45&amp;$W$44,$T$4:$AH$4,0))</f>
        <v>0.3025143196109723</v>
      </c>
      <c r="X47" s="24">
        <f t="shared" si="8"/>
        <v>0.30251431961099978</v>
      </c>
      <c r="Y47" s="24">
        <f t="shared" si="8"/>
        <v>0.30251431961108088</v>
      </c>
      <c r="Z47" s="24">
        <f t="shared" si="8"/>
        <v>0.30251431961099878</v>
      </c>
      <c r="AA47" s="24">
        <f t="shared" si="8"/>
        <v>0.30251431960863068</v>
      </c>
      <c r="AD47" s="134">
        <v>0.11139085537116863</v>
      </c>
      <c r="AE47" s="134">
        <v>0.11139085537140775</v>
      </c>
      <c r="AF47" s="134">
        <v>0.11139085537138703</v>
      </c>
      <c r="AG47" s="134">
        <v>0.11139085537140184</v>
      </c>
      <c r="AH47" s="134">
        <v>0.11139085539873195</v>
      </c>
    </row>
    <row r="48" spans="3:34">
      <c r="D48" s="36">
        <f t="shared" si="6"/>
        <v>2012</v>
      </c>
      <c r="E48" s="4">
        <v>1973.9185192201905</v>
      </c>
      <c r="F48" s="4">
        <v>1973.9428857821131</v>
      </c>
      <c r="G48" s="4">
        <v>1973.9258875658425</v>
      </c>
      <c r="H48" s="4">
        <v>1973.8932877942</v>
      </c>
      <c r="I48" s="4">
        <v>1973.946525324161</v>
      </c>
      <c r="O48" s="4">
        <f t="shared" ref="O48:O75" si="10">O47+1</f>
        <v>2009</v>
      </c>
      <c r="P48" s="24">
        <f t="shared" si="7"/>
        <v>0.48078921634160282</v>
      </c>
      <c r="Q48" s="24">
        <f t="shared" si="7"/>
        <v>0.48076691823611933</v>
      </c>
      <c r="R48" s="24">
        <f t="shared" si="7"/>
        <v>0.48075416960886902</v>
      </c>
      <c r="S48" s="24">
        <f t="shared" si="7"/>
        <v>0.48078474573071961</v>
      </c>
      <c r="T48" s="24">
        <f t="shared" si="7"/>
        <v>0.48076346324751595</v>
      </c>
      <c r="W48" s="24">
        <f t="shared" si="9"/>
        <v>0.3050537056410953</v>
      </c>
      <c r="X48" s="24">
        <f t="shared" si="8"/>
        <v>0.30505285482356365</v>
      </c>
      <c r="Y48" s="24">
        <f t="shared" si="8"/>
        <v>0.30505236985116352</v>
      </c>
      <c r="Z48" s="24">
        <f t="shared" si="8"/>
        <v>0.3050535348780205</v>
      </c>
      <c r="AA48" s="24">
        <f t="shared" si="8"/>
        <v>0.30505272327561794</v>
      </c>
      <c r="AD48" s="134">
        <v>0.10995154311530081</v>
      </c>
      <c r="AE48" s="134">
        <v>0.10994079207717344</v>
      </c>
      <c r="AF48" s="134">
        <v>0.10993464695804141</v>
      </c>
      <c r="AG48" s="134">
        <v>0.10994938735021778</v>
      </c>
      <c r="AH48" s="134">
        <v>0.10993912657491618</v>
      </c>
    </row>
    <row r="49" spans="4:34">
      <c r="D49" s="36">
        <f t="shared" si="6"/>
        <v>2013</v>
      </c>
      <c r="E49" s="4">
        <v>2015.8294137990074</v>
      </c>
      <c r="F49" s="4">
        <v>2015.8734887226722</v>
      </c>
      <c r="G49" s="4">
        <v>2015.8926891888721</v>
      </c>
      <c r="H49" s="4">
        <v>2015.8333868574296</v>
      </c>
      <c r="I49" s="4">
        <v>2015.8801291450152</v>
      </c>
      <c r="O49" s="4">
        <f t="shared" si="10"/>
        <v>2010</v>
      </c>
      <c r="P49" s="24">
        <f t="shared" si="7"/>
        <v>0.47245797098666625</v>
      </c>
      <c r="Q49" s="24">
        <f t="shared" si="7"/>
        <v>0.47240628873205703</v>
      </c>
      <c r="R49" s="24">
        <f t="shared" si="7"/>
        <v>0.47237702657509617</v>
      </c>
      <c r="S49" s="24">
        <f t="shared" si="7"/>
        <v>0.47244755992945731</v>
      </c>
      <c r="T49" s="24">
        <f t="shared" si="7"/>
        <v>0.47239833771510131</v>
      </c>
      <c r="W49" s="24">
        <f t="shared" si="9"/>
        <v>0.30755183292643545</v>
      </c>
      <c r="X49" s="24">
        <f t="shared" si="8"/>
        <v>0.30755553292202042</v>
      </c>
      <c r="Y49" s="24">
        <f t="shared" si="8"/>
        <v>0.30755766573971149</v>
      </c>
      <c r="Z49" s="24">
        <f t="shared" si="8"/>
        <v>0.30755257166826111</v>
      </c>
      <c r="AA49" s="24">
        <f t="shared" si="8"/>
        <v>0.30755610968904351</v>
      </c>
      <c r="AD49" s="134">
        <v>0.10926525282792897</v>
      </c>
      <c r="AE49" s="134">
        <v>0.1092433672925483</v>
      </c>
      <c r="AF49" s="134">
        <v>0.10923099478585896</v>
      </c>
      <c r="AG49" s="134">
        <v>0.10926084079761496</v>
      </c>
      <c r="AH49" s="134">
        <v>0.10924000410448419</v>
      </c>
    </row>
    <row r="50" spans="4:34">
      <c r="D50" s="36">
        <f t="shared" si="6"/>
        <v>2014</v>
      </c>
      <c r="E50" s="4">
        <v>2056.4783620696749</v>
      </c>
      <c r="F50" s="4">
        <v>2125.2285687884842</v>
      </c>
      <c r="G50" s="4">
        <v>2134.6485227042567</v>
      </c>
      <c r="H50" s="4">
        <v>2083.8441859478016</v>
      </c>
      <c r="I50" s="4">
        <v>2128.2478562048063</v>
      </c>
      <c r="O50" s="4">
        <f t="shared" si="10"/>
        <v>2011</v>
      </c>
      <c r="P50" s="24">
        <f t="shared" si="7"/>
        <v>0.46466304555325494</v>
      </c>
      <c r="Q50" s="24">
        <f t="shared" si="7"/>
        <v>0.46458251203599427</v>
      </c>
      <c r="R50" s="24">
        <f t="shared" si="7"/>
        <v>0.46453710680116245</v>
      </c>
      <c r="S50" s="24">
        <f t="shared" si="7"/>
        <v>0.46464678776518309</v>
      </c>
      <c r="T50" s="24">
        <f t="shared" si="7"/>
        <v>0.4645701609794996</v>
      </c>
      <c r="W50" s="24">
        <f t="shared" si="9"/>
        <v>0.30978743025682759</v>
      </c>
      <c r="X50" s="24">
        <f t="shared" si="8"/>
        <v>0.30979609837102495</v>
      </c>
      <c r="Y50" s="24">
        <f t="shared" si="8"/>
        <v>0.30980101237672858</v>
      </c>
      <c r="Z50" s="24">
        <f t="shared" si="8"/>
        <v>0.30978917517160587</v>
      </c>
      <c r="AA50" s="24">
        <f t="shared" si="8"/>
        <v>0.3097974331690258</v>
      </c>
      <c r="AD50" s="134">
        <v>0.10870123357661569</v>
      </c>
      <c r="AE50" s="134">
        <v>0.10866925330085578</v>
      </c>
      <c r="AF50" s="134">
        <v>0.10865124172929838</v>
      </c>
      <c r="AG50" s="134">
        <v>0.1086947740134572</v>
      </c>
      <c r="AH50" s="134">
        <v>0.10866435246806641</v>
      </c>
    </row>
    <row r="51" spans="4:34">
      <c r="D51" s="36">
        <f t="shared" si="6"/>
        <v>2015</v>
      </c>
      <c r="E51" s="4">
        <v>2098.7146502485052</v>
      </c>
      <c r="F51" s="4">
        <v>2243.4568447004276</v>
      </c>
      <c r="G51" s="4">
        <v>2264.7660919744121</v>
      </c>
      <c r="H51" s="4">
        <v>2156.1052907831308</v>
      </c>
      <c r="I51" s="4">
        <v>2250.8627990792675</v>
      </c>
      <c r="O51" s="4">
        <f t="shared" si="10"/>
        <v>2012</v>
      </c>
      <c r="P51" s="24">
        <f t="shared" si="7"/>
        <v>0.45786418272191554</v>
      </c>
      <c r="Q51" s="24">
        <f t="shared" si="7"/>
        <v>0.45775250263144918</v>
      </c>
      <c r="R51" s="24">
        <f t="shared" si="7"/>
        <v>0.45771717775812115</v>
      </c>
      <c r="S51" s="24">
        <f t="shared" si="7"/>
        <v>0.45786916657402071</v>
      </c>
      <c r="T51" s="24">
        <f t="shared" si="7"/>
        <v>0.45773539554377179</v>
      </c>
      <c r="W51" s="24">
        <f t="shared" si="9"/>
        <v>0.31196921710536585</v>
      </c>
      <c r="X51" s="24">
        <f t="shared" si="8"/>
        <v>0.31198258328754863</v>
      </c>
      <c r="Y51" s="24">
        <f t="shared" si="8"/>
        <v>0.3119901289455595</v>
      </c>
      <c r="Z51" s="24">
        <f t="shared" si="8"/>
        <v>0.3119719141862482</v>
      </c>
      <c r="AA51" s="24">
        <f t="shared" si="8"/>
        <v>0.31198463507847302</v>
      </c>
      <c r="AD51" s="134">
        <v>0.10853249428313158</v>
      </c>
      <c r="AE51" s="134">
        <v>0.10848960791430286</v>
      </c>
      <c r="AF51" s="134">
        <v>0.10847726993999153</v>
      </c>
      <c r="AG51" s="134">
        <v>0.10853562112929631</v>
      </c>
      <c r="AH51" s="134">
        <v>0.10848304344654336</v>
      </c>
    </row>
    <row r="52" spans="4:34">
      <c r="D52" s="36">
        <f t="shared" si="6"/>
        <v>2016</v>
      </c>
      <c r="E52" s="4">
        <v>2143.7898932781859</v>
      </c>
      <c r="F52" s="4">
        <v>2372.9121247368535</v>
      </c>
      <c r="G52" s="4">
        <v>2408.0828352729163</v>
      </c>
      <c r="H52" s="4">
        <v>2233.9287976817832</v>
      </c>
      <c r="I52" s="4">
        <v>2385.4457589474341</v>
      </c>
      <c r="O52" s="4">
        <f t="shared" si="10"/>
        <v>2013</v>
      </c>
      <c r="P52" s="24">
        <f t="shared" si="7"/>
        <v>0.45237057995231905</v>
      </c>
      <c r="Q52" s="24">
        <f t="shared" si="7"/>
        <v>0.45223087708767573</v>
      </c>
      <c r="R52" s="24">
        <f t="shared" si="7"/>
        <v>0.45215994439759633</v>
      </c>
      <c r="S52" s="24">
        <f t="shared" si="7"/>
        <v>0.45234998896205209</v>
      </c>
      <c r="T52" s="24">
        <f t="shared" si="7"/>
        <v>0.45220948637309866</v>
      </c>
      <c r="W52" s="24">
        <f t="shared" si="9"/>
        <v>0.3139245041025438</v>
      </c>
      <c r="X52" s="24">
        <f t="shared" si="8"/>
        <v>0.31394334595986323</v>
      </c>
      <c r="Y52" s="24">
        <f t="shared" si="8"/>
        <v>0.31394772405792337</v>
      </c>
      <c r="Z52" s="24">
        <f t="shared" si="8"/>
        <v>0.31392206870939343</v>
      </c>
      <c r="AA52" s="24">
        <f t="shared" si="8"/>
        <v>0.31394623406625782</v>
      </c>
      <c r="AD52" s="134">
        <v>0.1088039113311788</v>
      </c>
      <c r="AE52" s="134">
        <v>0.10875170924155951</v>
      </c>
      <c r="AF52" s="134">
        <v>0.10872334147008907</v>
      </c>
      <c r="AG52" s="134">
        <v>0.10879431888028168</v>
      </c>
      <c r="AH52" s="134">
        <v>0.10874372217445219</v>
      </c>
    </row>
    <row r="53" spans="4:34">
      <c r="D53" s="36">
        <f t="shared" si="6"/>
        <v>2017</v>
      </c>
      <c r="E53" s="4">
        <v>2190.2156254193396</v>
      </c>
      <c r="F53" s="4">
        <v>2512.3419217258552</v>
      </c>
      <c r="G53" s="4">
        <v>2564.3811645043311</v>
      </c>
      <c r="H53" s="4">
        <v>2315.8913320826855</v>
      </c>
      <c r="I53" s="4">
        <v>2531.8401664943071</v>
      </c>
      <c r="O53" s="4">
        <f t="shared" si="10"/>
        <v>2014</v>
      </c>
      <c r="P53" s="24">
        <f t="shared" si="7"/>
        <v>0.4474410510739113</v>
      </c>
      <c r="Q53" s="24">
        <f t="shared" si="7"/>
        <v>0.43776711067032625</v>
      </c>
      <c r="R53" s="24">
        <f t="shared" si="7"/>
        <v>0.43441657919796162</v>
      </c>
      <c r="S53" s="24">
        <f t="shared" si="7"/>
        <v>0.44318799780020285</v>
      </c>
      <c r="T53" s="24">
        <f t="shared" si="7"/>
        <v>0.43521757792911986</v>
      </c>
      <c r="W53" s="24">
        <f t="shared" si="9"/>
        <v>0.31562334949252491</v>
      </c>
      <c r="X53" s="24">
        <f t="shared" si="8"/>
        <v>0.31572680997037722</v>
      </c>
      <c r="Y53" s="24">
        <f t="shared" si="8"/>
        <v>0.31582924303010856</v>
      </c>
      <c r="Z53" s="24">
        <f t="shared" si="8"/>
        <v>0.31565184847856542</v>
      </c>
      <c r="AA53" s="24">
        <f t="shared" si="8"/>
        <v>0.31580874217378668</v>
      </c>
      <c r="AD53" s="134">
        <v>0.1091764826976095</v>
      </c>
      <c r="AE53" s="134">
        <v>0.10886354883658708</v>
      </c>
      <c r="AF53" s="134">
        <v>0.10902369470946985</v>
      </c>
      <c r="AG53" s="134">
        <v>0.10896774239800652</v>
      </c>
      <c r="AH53" s="134">
        <v>0.10901404754869035</v>
      </c>
    </row>
    <row r="54" spans="4:34">
      <c r="D54" s="36">
        <f t="shared" si="6"/>
        <v>2018</v>
      </c>
      <c r="E54" s="4">
        <v>2237.9595697459754</v>
      </c>
      <c r="F54" s="4">
        <v>2662.5108439094047</v>
      </c>
      <c r="G54" s="4">
        <v>2732.6186939522868</v>
      </c>
      <c r="H54" s="4">
        <v>2402.2852291726103</v>
      </c>
      <c r="I54" s="4">
        <v>2689.1682254151392</v>
      </c>
      <c r="O54" s="4">
        <f t="shared" si="10"/>
        <v>2015</v>
      </c>
      <c r="P54" s="24">
        <f t="shared" si="7"/>
        <v>0.44169145516728003</v>
      </c>
      <c r="Q54" s="24">
        <f t="shared" si="7"/>
        <v>0.42007324814905178</v>
      </c>
      <c r="R54" s="24">
        <f t="shared" si="7"/>
        <v>0.41348732947694022</v>
      </c>
      <c r="S54" s="24">
        <f t="shared" si="7"/>
        <v>0.43226639662635291</v>
      </c>
      <c r="T54" s="24">
        <f t="shared" si="7"/>
        <v>0.41516104101388451</v>
      </c>
      <c r="W54" s="24">
        <f t="shared" si="9"/>
        <v>0.31716231263226302</v>
      </c>
      <c r="X54" s="24">
        <f t="shared" si="8"/>
        <v>0.31953793167840133</v>
      </c>
      <c r="Y54" s="24">
        <f t="shared" si="8"/>
        <v>0.32029171407734291</v>
      </c>
      <c r="Z54" s="24">
        <f t="shared" si="8"/>
        <v>0.31817739057424893</v>
      </c>
      <c r="AA54" s="24">
        <f t="shared" si="8"/>
        <v>0.32009009146383344</v>
      </c>
      <c r="AD54" s="134">
        <v>0.10927558403550376</v>
      </c>
      <c r="AE54" s="134">
        <v>0.1097409372112096</v>
      </c>
      <c r="AF54" s="134">
        <v>0.11023301787499186</v>
      </c>
      <c r="AG54" s="134">
        <v>0.1093120325792092</v>
      </c>
      <c r="AH54" s="134">
        <v>0.11012749788803659</v>
      </c>
    </row>
    <row r="55" spans="4:34">
      <c r="D55" s="36">
        <f t="shared" si="6"/>
        <v>2019</v>
      </c>
      <c r="E55" s="4">
        <v>2285.949340155355</v>
      </c>
      <c r="F55" s="4">
        <v>2822.8170197954519</v>
      </c>
      <c r="G55" s="4">
        <v>2913.9736207404035</v>
      </c>
      <c r="H55" s="4">
        <v>2492.0511773491048</v>
      </c>
      <c r="I55" s="4">
        <v>2858.6481409214584</v>
      </c>
      <c r="O55" s="4">
        <f t="shared" si="10"/>
        <v>2016</v>
      </c>
      <c r="P55" s="24">
        <f t="shared" si="7"/>
        <v>0.43550762734205728</v>
      </c>
      <c r="Q55" s="24">
        <f t="shared" si="7"/>
        <v>0.40214710066376314</v>
      </c>
      <c r="R55" s="24">
        <f t="shared" si="7"/>
        <v>0.39274300727101102</v>
      </c>
      <c r="S55" s="24">
        <f t="shared" si="7"/>
        <v>0.42089157184581016</v>
      </c>
      <c r="T55" s="24">
        <f t="shared" si="7"/>
        <v>0.39532901300995854</v>
      </c>
      <c r="W55" s="24">
        <f t="shared" si="9"/>
        <v>0.3188808709672164</v>
      </c>
      <c r="X55" s="24">
        <f t="shared" si="8"/>
        <v>0.32346367150975885</v>
      </c>
      <c r="Y55" s="24">
        <f t="shared" si="8"/>
        <v>0.32468276438191018</v>
      </c>
      <c r="Z55" s="24">
        <f t="shared" si="8"/>
        <v>0.32082020248460352</v>
      </c>
      <c r="AA55" s="24">
        <f t="shared" si="8"/>
        <v>0.32431763577790512</v>
      </c>
      <c r="AD55" s="134">
        <v>0.1095002015090305</v>
      </c>
      <c r="AE55" s="134">
        <v>0.11087973304880661</v>
      </c>
      <c r="AF55" s="134">
        <v>0.11184342628071998</v>
      </c>
      <c r="AG55" s="134">
        <v>0.10982769519084301</v>
      </c>
      <c r="AH55" s="134">
        <v>0.11162198485251573</v>
      </c>
    </row>
    <row r="56" spans="4:34">
      <c r="D56" s="36">
        <f t="shared" si="6"/>
        <v>2020</v>
      </c>
      <c r="E56" s="4">
        <v>2335.2200618733473</v>
      </c>
      <c r="F56" s="4">
        <v>2982.9320298513212</v>
      </c>
      <c r="G56" s="4">
        <v>3074.1397996180403</v>
      </c>
      <c r="H56" s="4">
        <v>2572.5298796718262</v>
      </c>
      <c r="I56" s="4">
        <v>3012.1997327828662</v>
      </c>
      <c r="O56" s="4">
        <f t="shared" si="10"/>
        <v>2017</v>
      </c>
      <c r="P56" s="24">
        <f t="shared" ref="P56:T65" si="11">INDEX($T$4:$AH$40,MATCH($O56,$C$4:$C$40,0),MATCH(P$45&amp;$P$44,$T$4:$AH$4,0))</f>
        <v>0.4291749964338013</v>
      </c>
      <c r="Q56" s="24">
        <f t="shared" si="11"/>
        <v>0.38443283689319774</v>
      </c>
      <c r="R56" s="24">
        <f t="shared" si="11"/>
        <v>0.37247586044525699</v>
      </c>
      <c r="S56" s="24">
        <f t="shared" si="11"/>
        <v>0.40946065899672485</v>
      </c>
      <c r="T56" s="24">
        <f t="shared" si="11"/>
        <v>0.37591083874447317</v>
      </c>
      <c r="W56" s="24">
        <f t="shared" si="9"/>
        <v>0.32059337434204671</v>
      </c>
      <c r="X56" s="24">
        <f t="shared" si="8"/>
        <v>0.32730497508356687</v>
      </c>
      <c r="Y56" s="24">
        <f t="shared" si="8"/>
        <v>0.32891658578418365</v>
      </c>
      <c r="Z56" s="24">
        <f t="shared" si="8"/>
        <v>0.32345491059263126</v>
      </c>
      <c r="AA56" s="24">
        <f t="shared" si="8"/>
        <v>0.32837265937843879</v>
      </c>
      <c r="AD56" s="134">
        <v>0.10963275333397635</v>
      </c>
      <c r="AE56" s="134">
        <v>0.11231542455172626</v>
      </c>
      <c r="AF56" s="134">
        <v>0.11392927598557283</v>
      </c>
      <c r="AG56" s="134">
        <v>0.11040950888541919</v>
      </c>
      <c r="AH56" s="134">
        <v>0.11353105194099744</v>
      </c>
    </row>
    <row r="57" spans="4:34">
      <c r="D57" s="36">
        <f t="shared" si="6"/>
        <v>2021</v>
      </c>
      <c r="E57" s="4">
        <v>2384.3157146284311</v>
      </c>
      <c r="F57" s="4">
        <v>3152.9463726742042</v>
      </c>
      <c r="G57" s="4">
        <v>3251.7888537942035</v>
      </c>
      <c r="H57" s="4">
        <v>2654.6686716431695</v>
      </c>
      <c r="I57" s="4">
        <v>3173.3505971134946</v>
      </c>
      <c r="O57" s="4">
        <f t="shared" si="10"/>
        <v>2018</v>
      </c>
      <c r="P57" s="24">
        <f t="shared" si="11"/>
        <v>0.42369219736938185</v>
      </c>
      <c r="Q57" s="24">
        <f t="shared" si="11"/>
        <v>0.36782496675472226</v>
      </c>
      <c r="R57" s="24">
        <f t="shared" si="11"/>
        <v>0.3536216808084911</v>
      </c>
      <c r="S57" s="24">
        <f t="shared" si="11"/>
        <v>0.39878667686227492</v>
      </c>
      <c r="T57" s="24">
        <f t="shared" si="11"/>
        <v>0.35777107226912325</v>
      </c>
      <c r="W57" s="24">
        <f t="shared" si="9"/>
        <v>0.32178344489345939</v>
      </c>
      <c r="X57" s="24">
        <f t="shared" si="8"/>
        <v>0.3305925896539465</v>
      </c>
      <c r="Y57" s="24">
        <f t="shared" si="8"/>
        <v>0.33257297640029332</v>
      </c>
      <c r="Z57" s="24">
        <f t="shared" si="8"/>
        <v>0.32555588331619473</v>
      </c>
      <c r="AA57" s="24">
        <f t="shared" si="8"/>
        <v>0.3318605494526865</v>
      </c>
      <c r="AD57" s="134">
        <v>0.10998762662806168</v>
      </c>
      <c r="AE57" s="134">
        <v>0.11416217744723288</v>
      </c>
      <c r="AF57" s="134">
        <v>0.11671629457514028</v>
      </c>
      <c r="AG57" s="134">
        <v>0.11126292344835617</v>
      </c>
      <c r="AH57" s="134">
        <v>0.11607120155063032</v>
      </c>
    </row>
    <row r="58" spans="4:34">
      <c r="D58" s="36">
        <f t="shared" si="6"/>
        <v>2022</v>
      </c>
      <c r="E58" s="4">
        <v>2434.2993447940489</v>
      </c>
      <c r="F58" s="4">
        <v>3334.3537317940577</v>
      </c>
      <c r="G58" s="4">
        <v>3443.4370327230645</v>
      </c>
      <c r="H58" s="4">
        <v>2740.0591857597337</v>
      </c>
      <c r="I58" s="4">
        <v>3345.2580532299444</v>
      </c>
      <c r="O58" s="4">
        <f t="shared" si="10"/>
        <v>2019</v>
      </c>
      <c r="P58" s="24">
        <f t="shared" si="11"/>
        <v>0.41824825517086295</v>
      </c>
      <c r="Q58" s="24">
        <f t="shared" si="11"/>
        <v>0.35179412764858553</v>
      </c>
      <c r="R58" s="24">
        <f t="shared" si="11"/>
        <v>0.33538524677688408</v>
      </c>
      <c r="S58" s="24">
        <f t="shared" si="11"/>
        <v>0.38823967337241827</v>
      </c>
      <c r="T58" s="24">
        <f t="shared" si="11"/>
        <v>0.34014687840756863</v>
      </c>
      <c r="W58" s="24">
        <f t="shared" si="9"/>
        <v>0.3230165441995364</v>
      </c>
      <c r="X58" s="24">
        <f t="shared" si="8"/>
        <v>0.33381006149245912</v>
      </c>
      <c r="Y58" s="24">
        <f t="shared" si="8"/>
        <v>0.336102592011434</v>
      </c>
      <c r="Z58" s="24">
        <f t="shared" si="8"/>
        <v>0.32770541454793256</v>
      </c>
      <c r="AA58" s="24">
        <f t="shared" si="8"/>
        <v>0.33526573351871869</v>
      </c>
      <c r="AD58" s="134">
        <v>0.11035947193322726</v>
      </c>
      <c r="AE58" s="134">
        <v>0.11633484521224109</v>
      </c>
      <c r="AF58" s="134">
        <v>0.12002170863050113</v>
      </c>
      <c r="AG58" s="134">
        <v>0.11228747399268045</v>
      </c>
      <c r="AH58" s="134">
        <v>0.11914886449546759</v>
      </c>
    </row>
    <row r="59" spans="4:34">
      <c r="D59" s="36">
        <f t="shared" si="6"/>
        <v>2023</v>
      </c>
      <c r="E59" s="4">
        <v>2484.1396986497693</v>
      </c>
      <c r="F59" s="4">
        <v>3524.380918330538</v>
      </c>
      <c r="G59" s="4">
        <v>3647.212154595808</v>
      </c>
      <c r="H59" s="4">
        <v>2827.3249959927371</v>
      </c>
      <c r="I59" s="4">
        <v>3527.1891163017599</v>
      </c>
      <c r="O59" s="4">
        <f t="shared" si="10"/>
        <v>2020</v>
      </c>
      <c r="P59" s="24">
        <f t="shared" si="11"/>
        <v>0.41289247231287635</v>
      </c>
      <c r="Q59" s="24">
        <f t="shared" si="11"/>
        <v>0.3372768582290081</v>
      </c>
      <c r="R59" s="24">
        <f t="shared" si="11"/>
        <v>0.32064079838930726</v>
      </c>
      <c r="S59" s="24">
        <f t="shared" si="11"/>
        <v>0.379311190801503</v>
      </c>
      <c r="T59" s="24">
        <f t="shared" si="11"/>
        <v>0.32523863918222728</v>
      </c>
      <c r="W59" s="24">
        <f t="shared" si="9"/>
        <v>0.32426829996956641</v>
      </c>
      <c r="X59" s="24">
        <f t="shared" si="8"/>
        <v>0.33690502918242504</v>
      </c>
      <c r="Y59" s="24">
        <f t="shared" si="8"/>
        <v>0.33947353072116881</v>
      </c>
      <c r="Z59" s="24">
        <f t="shared" si="8"/>
        <v>0.32982856814161277</v>
      </c>
      <c r="AA59" s="24">
        <f t="shared" si="8"/>
        <v>0.33853295423478719</v>
      </c>
      <c r="AD59" s="134">
        <v>0.11079488707077736</v>
      </c>
      <c r="AE59" s="134">
        <v>0.11866963084055024</v>
      </c>
      <c r="AF59" s="134">
        <v>0.12307772159326859</v>
      </c>
      <c r="AG59" s="134">
        <v>0.11337272302625385</v>
      </c>
      <c r="AH59" s="134">
        <v>0.12210638502384039</v>
      </c>
    </row>
    <row r="60" spans="4:34">
      <c r="D60" s="36">
        <f t="shared" si="6"/>
        <v>2024</v>
      </c>
      <c r="E60" s="4">
        <v>2535.4411728657492</v>
      </c>
      <c r="F60" s="4">
        <v>3705.0372039494418</v>
      </c>
      <c r="G60" s="4">
        <v>3854.7657019886888</v>
      </c>
      <c r="H60" s="4">
        <v>2913.8053754328616</v>
      </c>
      <c r="I60" s="4">
        <v>3698.9258063931475</v>
      </c>
      <c r="O60" s="4">
        <f t="shared" si="10"/>
        <v>2021</v>
      </c>
      <c r="P60" s="24">
        <f t="shared" si="11"/>
        <v>0.40781528639174419</v>
      </c>
      <c r="Q60" s="24">
        <f t="shared" si="11"/>
        <v>0.32366902217868021</v>
      </c>
      <c r="R60" s="24">
        <f t="shared" si="11"/>
        <v>0.30673133994794083</v>
      </c>
      <c r="S60" s="24">
        <f t="shared" si="11"/>
        <v>0.37111151552973287</v>
      </c>
      <c r="T60" s="24">
        <f t="shared" si="11"/>
        <v>0.3115601750860737</v>
      </c>
      <c r="W60" s="24">
        <f t="shared" si="9"/>
        <v>0.32553909165826528</v>
      </c>
      <c r="X60" s="24">
        <f t="shared" si="8"/>
        <v>0.33968900375148781</v>
      </c>
      <c r="Y60" s="24">
        <f t="shared" si="8"/>
        <v>0.34215817343444771</v>
      </c>
      <c r="Z60" s="24">
        <f t="shared" si="8"/>
        <v>0.33161961439323651</v>
      </c>
      <c r="AA60" s="24">
        <f t="shared" si="8"/>
        <v>0.34123875334124593</v>
      </c>
      <c r="AD60" s="134">
        <v>0.11136200318740475</v>
      </c>
      <c r="AE60" s="134">
        <v>0.12137056474068872</v>
      </c>
      <c r="AF60" s="134">
        <v>0.12690208449306942</v>
      </c>
      <c r="AG60" s="134">
        <v>0.11456753577724063</v>
      </c>
      <c r="AH60" s="134">
        <v>0.12550682025364748</v>
      </c>
    </row>
    <row r="61" spans="4:34">
      <c r="D61" s="36">
        <f t="shared" si="6"/>
        <v>2025</v>
      </c>
      <c r="E61" s="4">
        <v>2588.7386335266801</v>
      </c>
      <c r="F61" s="4">
        <v>3899.442535935153</v>
      </c>
      <c r="G61" s="4">
        <v>4076.8453422388015</v>
      </c>
      <c r="H61" s="4">
        <v>3003.5299214658958</v>
      </c>
      <c r="I61" s="4">
        <v>3881.3933779435947</v>
      </c>
      <c r="O61" s="4">
        <f t="shared" si="10"/>
        <v>2022</v>
      </c>
      <c r="P61" s="24">
        <f t="shared" si="11"/>
        <v>0.40301839677722479</v>
      </c>
      <c r="Q61" s="24">
        <f t="shared" si="11"/>
        <v>0.31059023195239255</v>
      </c>
      <c r="R61" s="24">
        <f t="shared" si="11"/>
        <v>0.29313802007736561</v>
      </c>
      <c r="S61" s="24">
        <f t="shared" si="11"/>
        <v>0.3631351075615708</v>
      </c>
      <c r="T61" s="24">
        <f t="shared" si="11"/>
        <v>0.29856269015705983</v>
      </c>
      <c r="W61" s="24">
        <f t="shared" si="9"/>
        <v>0.32675916700555058</v>
      </c>
      <c r="X61" s="24">
        <f t="shared" si="8"/>
        <v>0.34232543581396829</v>
      </c>
      <c r="Y61" s="24">
        <f t="shared" si="8"/>
        <v>0.34482096039205523</v>
      </c>
      <c r="Z61" s="24">
        <f t="shared" si="8"/>
        <v>0.33332758691525921</v>
      </c>
      <c r="AA61" s="24">
        <f t="shared" si="8"/>
        <v>0.34379988243202114</v>
      </c>
      <c r="AD61" s="134">
        <v>0.11203397503970934</v>
      </c>
      <c r="AE61" s="134">
        <v>0.12436215984926703</v>
      </c>
      <c r="AF61" s="134">
        <v>0.131145922009855</v>
      </c>
      <c r="AG61" s="134">
        <v>0.11586857176247672</v>
      </c>
      <c r="AH61" s="134">
        <v>0.12932508871821874</v>
      </c>
    </row>
    <row r="62" spans="4:34">
      <c r="D62" s="36">
        <f t="shared" si="6"/>
        <v>2026</v>
      </c>
      <c r="E62" s="4">
        <v>2644.671920438645</v>
      </c>
      <c r="F62" s="4">
        <v>4105.72130716846</v>
      </c>
      <c r="G62" s="4">
        <v>4318.8241166424696</v>
      </c>
      <c r="H62" s="4">
        <v>3095.3998725306437</v>
      </c>
      <c r="I62" s="4">
        <v>4076.5172269210834</v>
      </c>
      <c r="O62" s="4">
        <f t="shared" si="10"/>
        <v>2023</v>
      </c>
      <c r="P62" s="24">
        <f t="shared" si="11"/>
        <v>0.39833169703558774</v>
      </c>
      <c r="Q62" s="24">
        <f t="shared" si="11"/>
        <v>0.29817726117062249</v>
      </c>
      <c r="R62" s="24">
        <f t="shared" si="11"/>
        <v>0.2801406568947038</v>
      </c>
      <c r="S62" s="24">
        <f t="shared" si="11"/>
        <v>0.35533143375549059</v>
      </c>
      <c r="T62" s="24">
        <f t="shared" si="11"/>
        <v>0.28601155466406752</v>
      </c>
      <c r="W62" s="24">
        <f t="shared" si="9"/>
        <v>0.32794718285324592</v>
      </c>
      <c r="X62" s="24">
        <f t="shared" si="9"/>
        <v>0.34488164458399656</v>
      </c>
      <c r="Y62" s="24">
        <f t="shared" si="9"/>
        <v>0.3474205758641577</v>
      </c>
      <c r="Z62" s="24">
        <f t="shared" si="9"/>
        <v>0.33502095422103706</v>
      </c>
      <c r="AA62" s="24">
        <f t="shared" si="9"/>
        <v>0.3462552458142189</v>
      </c>
      <c r="AD62" s="134">
        <v>0.11275079597352033</v>
      </c>
      <c r="AE62" s="134">
        <v>0.12771222032133522</v>
      </c>
      <c r="AF62" s="134">
        <v>0.13587784778225689</v>
      </c>
      <c r="AG62" s="134">
        <v>0.1172807700851974</v>
      </c>
      <c r="AH62" s="134">
        <v>0.13352398407438865</v>
      </c>
    </row>
    <row r="63" spans="4:34">
      <c r="D63" s="36">
        <f t="shared" si="6"/>
        <v>2027</v>
      </c>
      <c r="E63" s="4">
        <v>2700.6290662616839</v>
      </c>
      <c r="F63" s="4">
        <v>4328.4526019921759</v>
      </c>
      <c r="G63" s="4">
        <v>4582.4672019976688</v>
      </c>
      <c r="H63" s="4">
        <v>3188.9090436042957</v>
      </c>
      <c r="I63" s="4">
        <v>4286.8240018188781</v>
      </c>
      <c r="O63" s="4">
        <f t="shared" si="10"/>
        <v>2024</v>
      </c>
      <c r="P63" s="24">
        <f t="shared" si="11"/>
        <v>0.39362016200898453</v>
      </c>
      <c r="Q63" s="24">
        <f t="shared" si="11"/>
        <v>0.28757991483264128</v>
      </c>
      <c r="R63" s="24">
        <f t="shared" si="11"/>
        <v>0.26808436137517389</v>
      </c>
      <c r="S63" s="24">
        <f t="shared" si="11"/>
        <v>0.34794240617026329</v>
      </c>
      <c r="T63" s="24">
        <f t="shared" si="11"/>
        <v>0.27527181033313985</v>
      </c>
      <c r="W63" s="24">
        <f t="shared" si="9"/>
        <v>0.32912677362423437</v>
      </c>
      <c r="X63" s="24">
        <f t="shared" si="9"/>
        <v>0.34730549395015065</v>
      </c>
      <c r="Y63" s="24">
        <f t="shared" si="9"/>
        <v>0.34988010722585805</v>
      </c>
      <c r="Z63" s="24">
        <f t="shared" si="9"/>
        <v>0.33668122900763681</v>
      </c>
      <c r="AA63" s="24">
        <f t="shared" si="9"/>
        <v>0.34859897734970285</v>
      </c>
      <c r="AD63" s="134">
        <v>0.11346934011778438</v>
      </c>
      <c r="AE63" s="134">
        <v>0.13129747143306314</v>
      </c>
      <c r="AF63" s="134">
        <v>0.1408106200395664</v>
      </c>
      <c r="AG63" s="134">
        <v>0.11873316673923855</v>
      </c>
      <c r="AH63" s="134">
        <v>0.13776740810157018</v>
      </c>
    </row>
    <row r="64" spans="4:34">
      <c r="D64" s="36">
        <f t="shared" si="6"/>
        <v>2028</v>
      </c>
      <c r="E64" s="4">
        <v>2756.0740059895561</v>
      </c>
      <c r="F64" s="4">
        <v>4568.1667055327089</v>
      </c>
      <c r="G64" s="4">
        <v>4869.0430946840424</v>
      </c>
      <c r="H64" s="4">
        <v>3286.3752528453142</v>
      </c>
      <c r="I64" s="4">
        <v>4511.9072074574478</v>
      </c>
      <c r="O64" s="4">
        <f t="shared" si="10"/>
        <v>2025</v>
      </c>
      <c r="P64" s="24">
        <f t="shared" si="11"/>
        <v>0.38889244452050048</v>
      </c>
      <c r="Q64" s="24">
        <f t="shared" si="11"/>
        <v>0.27807476616084092</v>
      </c>
      <c r="R64" s="24">
        <f t="shared" si="11"/>
        <v>0.25670999059493166</v>
      </c>
      <c r="S64" s="24">
        <f t="shared" si="11"/>
        <v>0.34075510524708541</v>
      </c>
      <c r="T64" s="24">
        <f t="shared" si="11"/>
        <v>0.26524474833863387</v>
      </c>
      <c r="W64" s="24">
        <f t="shared" si="9"/>
        <v>0.33031357857850902</v>
      </c>
      <c r="X64" s="24">
        <f t="shared" si="9"/>
        <v>0.34933169562086097</v>
      </c>
      <c r="Y64" s="24">
        <f t="shared" si="9"/>
        <v>0.35216560248845563</v>
      </c>
      <c r="Z64" s="24">
        <f t="shared" si="9"/>
        <v>0.33824711510706257</v>
      </c>
      <c r="AA64" s="24">
        <f t="shared" si="9"/>
        <v>0.35058050563109611</v>
      </c>
      <c r="AD64" s="134">
        <v>0.1141983859765303</v>
      </c>
      <c r="AE64" s="134">
        <v>0.13514180414848329</v>
      </c>
      <c r="AF64" s="134">
        <v>0.14612794869841106</v>
      </c>
      <c r="AG64" s="134">
        <v>0.12024082400519787</v>
      </c>
      <c r="AH64" s="134">
        <v>0.14211690087302256</v>
      </c>
    </row>
    <row r="65" spans="4:34">
      <c r="D65" s="36">
        <f t="shared" si="6"/>
        <v>2029</v>
      </c>
      <c r="E65" s="4">
        <v>2811.6644057808485</v>
      </c>
      <c r="F65" s="4">
        <v>4802.204715995329</v>
      </c>
      <c r="G65" s="4">
        <v>5112.8282818774069</v>
      </c>
      <c r="H65" s="4">
        <v>3362.2815747924487</v>
      </c>
      <c r="I65" s="4">
        <v>4666.9037095168569</v>
      </c>
      <c r="O65" s="4">
        <f t="shared" si="10"/>
        <v>2026</v>
      </c>
      <c r="P65" s="24">
        <f t="shared" si="11"/>
        <v>0.3839890137875735</v>
      </c>
      <c r="Q65" s="24">
        <f t="shared" si="11"/>
        <v>0.26865696972929848</v>
      </c>
      <c r="R65" s="24">
        <f t="shared" si="11"/>
        <v>0.24548738869296965</v>
      </c>
      <c r="S65" s="24">
        <f t="shared" si="11"/>
        <v>0.33384394655625638</v>
      </c>
      <c r="T65" s="24">
        <f t="shared" si="11"/>
        <v>0.25542652627672202</v>
      </c>
      <c r="W65" s="24">
        <f t="shared" si="9"/>
        <v>0.33147971789271508</v>
      </c>
      <c r="X65" s="24">
        <f t="shared" si="9"/>
        <v>0.35124745949483421</v>
      </c>
      <c r="Y65" s="24">
        <f t="shared" si="9"/>
        <v>0.35431373398080057</v>
      </c>
      <c r="Z65" s="24">
        <f t="shared" si="9"/>
        <v>0.33979137344445287</v>
      </c>
      <c r="AA65" s="24">
        <f t="shared" si="9"/>
        <v>0.35248026361074658</v>
      </c>
      <c r="AD65" s="134">
        <v>0.11487051760282944</v>
      </c>
      <c r="AE65" s="134">
        <v>0.13911259377492186</v>
      </c>
      <c r="AF65" s="134">
        <v>0.15176039619389781</v>
      </c>
      <c r="AG65" s="134">
        <v>0.12187678825263147</v>
      </c>
      <c r="AH65" s="134">
        <v>0.14673022863152843</v>
      </c>
    </row>
    <row r="66" spans="4:34">
      <c r="D66" s="36">
        <f t="shared" si="6"/>
        <v>2030</v>
      </c>
      <c r="E66" s="4">
        <v>2867.6582092886101</v>
      </c>
      <c r="F66" s="4">
        <v>5049.5977108586703</v>
      </c>
      <c r="G66" s="4">
        <v>5369.0713903467631</v>
      </c>
      <c r="H66" s="4">
        <v>3440.1477081609955</v>
      </c>
      <c r="I66" s="4">
        <v>4825.4049874442981</v>
      </c>
      <c r="O66" s="4">
        <f t="shared" si="10"/>
        <v>2027</v>
      </c>
      <c r="P66" s="24">
        <f t="shared" ref="P66:T79" si="12">INDEX($T$4:$AH$40,MATCH($O66,$C$4:$C$40,0),MATCH(P$45&amp;$P$44,$T$4:$AH$4,0))</f>
        <v>0.379286434164672</v>
      </c>
      <c r="Q66" s="24">
        <f t="shared" si="12"/>
        <v>0.25930037781021736</v>
      </c>
      <c r="R66" s="24">
        <f t="shared" si="12"/>
        <v>0.234339430556709</v>
      </c>
      <c r="S66" s="24">
        <f t="shared" si="12"/>
        <v>0.32714147539903926</v>
      </c>
      <c r="T66" s="24">
        <f t="shared" si="12"/>
        <v>0.24568883457439825</v>
      </c>
      <c r="W66" s="24">
        <f t="shared" si="9"/>
        <v>0.33271273339689006</v>
      </c>
      <c r="X66" s="24">
        <f t="shared" si="9"/>
        <v>0.35311752860431345</v>
      </c>
      <c r="Y66" s="24">
        <f t="shared" si="9"/>
        <v>0.35642270115294994</v>
      </c>
      <c r="Z66" s="24">
        <f t="shared" si="9"/>
        <v>0.34127533895993278</v>
      </c>
      <c r="AA66" s="24">
        <f t="shared" si="9"/>
        <v>0.35431901951370487</v>
      </c>
      <c r="AD66" s="134">
        <v>0.11565315927654793</v>
      </c>
      <c r="AE66" s="134">
        <v>0.1432215231337621</v>
      </c>
      <c r="AF66" s="134">
        <v>0.15772987274303329</v>
      </c>
      <c r="AG66" s="134">
        <v>0.12361076596242515</v>
      </c>
      <c r="AH66" s="134">
        <v>0.15155581093142015</v>
      </c>
    </row>
    <row r="67" spans="4:34">
      <c r="D67" s="36">
        <f t="shared" si="6"/>
        <v>2031</v>
      </c>
      <c r="E67" s="4">
        <v>2928.4500609454699</v>
      </c>
      <c r="F67" s="4">
        <v>5314.0209259383182</v>
      </c>
      <c r="G67" s="4">
        <v>5639.5160940356645</v>
      </c>
      <c r="H67" s="4">
        <v>3521.041569559924</v>
      </c>
      <c r="I67" s="4">
        <v>4989.2076829818116</v>
      </c>
      <c r="O67" s="4">
        <f t="shared" si="10"/>
        <v>2028</v>
      </c>
      <c r="P67" s="24">
        <f t="shared" si="12"/>
        <v>0.37488571784427555</v>
      </c>
      <c r="Q67" s="24">
        <f t="shared" si="12"/>
        <v>0.24964137635334743</v>
      </c>
      <c r="R67" s="24">
        <f t="shared" si="12"/>
        <v>0.22304725508220025</v>
      </c>
      <c r="S67" s="24">
        <f t="shared" si="12"/>
        <v>0.32065373440090411</v>
      </c>
      <c r="T67" s="24">
        <f t="shared" si="12"/>
        <v>0.23579856722538819</v>
      </c>
      <c r="W67" s="24">
        <f t="shared" si="9"/>
        <v>0.33390339701948885</v>
      </c>
      <c r="X67" s="24">
        <f t="shared" si="9"/>
        <v>0.35495680253345357</v>
      </c>
      <c r="Y67" s="24">
        <f t="shared" si="9"/>
        <v>0.35849569369148337</v>
      </c>
      <c r="Z67" s="24">
        <f t="shared" si="9"/>
        <v>0.34271076786069382</v>
      </c>
      <c r="AA67" s="24">
        <f t="shared" si="9"/>
        <v>0.35614044053235078</v>
      </c>
      <c r="AD67" s="134">
        <v>0.11654740635254729</v>
      </c>
      <c r="AE67" s="134">
        <v>0.14735189944871099</v>
      </c>
      <c r="AF67" s="134">
        <v>0.16398018497514413</v>
      </c>
      <c r="AG67" s="134">
        <v>0.12545017664877811</v>
      </c>
      <c r="AH67" s="134">
        <v>0.1565391475192365</v>
      </c>
    </row>
    <row r="68" spans="4:34">
      <c r="D68" s="36">
        <f t="shared" si="6"/>
        <v>2032</v>
      </c>
      <c r="E68" s="4">
        <v>2992.7108183261389</v>
      </c>
      <c r="F68" s="4">
        <v>5594.4072402482916</v>
      </c>
      <c r="G68" s="4">
        <v>5924.2880315986222</v>
      </c>
      <c r="H68" s="4">
        <v>3603.8827609667151</v>
      </c>
      <c r="I68" s="4">
        <v>5157.4154035218862</v>
      </c>
      <c r="O68" s="4">
        <f t="shared" si="10"/>
        <v>2029</v>
      </c>
      <c r="P68" s="24">
        <f t="shared" si="12"/>
        <v>0.37068090076317184</v>
      </c>
      <c r="Q68" s="24">
        <f t="shared" si="12"/>
        <v>0.24089416098442562</v>
      </c>
      <c r="R68" s="24">
        <f t="shared" si="12"/>
        <v>0.21381269471061989</v>
      </c>
      <c r="S68" s="24">
        <f t="shared" si="12"/>
        <v>0.31548675475514287</v>
      </c>
      <c r="T68" s="24">
        <f t="shared" si="12"/>
        <v>0.2287654818302777</v>
      </c>
      <c r="W68" s="24">
        <f t="shared" si="9"/>
        <v>0.33505024113074838</v>
      </c>
      <c r="X68" s="24">
        <f t="shared" si="9"/>
        <v>0.35682912737265426</v>
      </c>
      <c r="Y68" s="24">
        <f t="shared" si="9"/>
        <v>0.36056660879543906</v>
      </c>
      <c r="Z68" s="24">
        <f t="shared" si="9"/>
        <v>0.34410779352123205</v>
      </c>
      <c r="AA68" s="24">
        <f t="shared" si="9"/>
        <v>0.35798205658425564</v>
      </c>
      <c r="AD68" s="134">
        <v>0.11751340501784308</v>
      </c>
      <c r="AE68" s="134">
        <v>0.15131384249680371</v>
      </c>
      <c r="AF68" s="134">
        <v>0.16958691804134141</v>
      </c>
      <c r="AG68" s="134">
        <v>0.12679980651698275</v>
      </c>
      <c r="AH68" s="134">
        <v>0.16041193544617177</v>
      </c>
    </row>
    <row r="69" spans="4:34">
      <c r="D69" s="36">
        <f t="shared" si="6"/>
        <v>2033</v>
      </c>
      <c r="E69" s="4">
        <v>3059.93300257701</v>
      </c>
      <c r="F69" s="4">
        <v>5890.6230717996714</v>
      </c>
      <c r="G69" s="4">
        <v>6226.2565481138354</v>
      </c>
      <c r="H69" s="4">
        <v>3686.8624276283931</v>
      </c>
      <c r="I69" s="4">
        <v>5330.448210179823</v>
      </c>
      <c r="O69" s="4">
        <f t="shared" si="10"/>
        <v>2030</v>
      </c>
      <c r="P69" s="24">
        <f t="shared" si="12"/>
        <v>0.36657029281793774</v>
      </c>
      <c r="Q69" s="24">
        <f t="shared" si="12"/>
        <v>0.23262423403870691</v>
      </c>
      <c r="R69" s="24">
        <f t="shared" si="12"/>
        <v>0.20542682312147764</v>
      </c>
      <c r="S69" s="24">
        <f t="shared" si="12"/>
        <v>0.31087465573282314</v>
      </c>
      <c r="T69" s="24">
        <f t="shared" si="12"/>
        <v>0.2228742275361448</v>
      </c>
      <c r="W69" s="24">
        <f t="shared" si="9"/>
        <v>0.33614686629666934</v>
      </c>
      <c r="X69" s="24">
        <f t="shared" si="9"/>
        <v>0.35846406786674012</v>
      </c>
      <c r="Y69" s="24">
        <f t="shared" si="9"/>
        <v>0.36215204126257905</v>
      </c>
      <c r="Z69" s="24">
        <f t="shared" si="9"/>
        <v>0.34519165673767083</v>
      </c>
      <c r="AA69" s="24">
        <f t="shared" si="9"/>
        <v>0.3591260796365886</v>
      </c>
      <c r="AD69" s="134">
        <v>0.11851183715135416</v>
      </c>
      <c r="AE69" s="134">
        <v>0.15532994693992033</v>
      </c>
      <c r="AF69" s="134">
        <v>0.17502853690985548</v>
      </c>
      <c r="AG69" s="134">
        <v>0.12804908602084722</v>
      </c>
      <c r="AH69" s="134">
        <v>0.16382734531267645</v>
      </c>
    </row>
    <row r="70" spans="4:34">
      <c r="D70" s="36">
        <f t="shared" si="6"/>
        <v>2034</v>
      </c>
      <c r="E70" s="4">
        <v>3130.0520448766169</v>
      </c>
      <c r="F70" s="4">
        <v>6172.0951654673345</v>
      </c>
      <c r="G70" s="4">
        <v>6465.3371340913081</v>
      </c>
      <c r="H70" s="4">
        <v>3764.0265567592905</v>
      </c>
      <c r="I70" s="4">
        <v>5485.3533253499227</v>
      </c>
      <c r="O70" s="4">
        <f t="shared" si="10"/>
        <v>2031</v>
      </c>
      <c r="P70" s="24">
        <f t="shared" si="12"/>
        <v>0.36220101692941098</v>
      </c>
      <c r="Q70" s="24">
        <f t="shared" si="12"/>
        <v>0.22454185901059878</v>
      </c>
      <c r="R70" s="24">
        <f t="shared" si="12"/>
        <v>0.1974153433324822</v>
      </c>
      <c r="S70" s="24">
        <f t="shared" si="12"/>
        <v>0.30631166545204341</v>
      </c>
      <c r="T70" s="24">
        <f t="shared" si="12"/>
        <v>0.21735180636683185</v>
      </c>
      <c r="W70" s="24">
        <f t="shared" si="9"/>
        <v>0.33719137165479784</v>
      </c>
      <c r="X70" s="24">
        <f t="shared" si="9"/>
        <v>0.36002077082059725</v>
      </c>
      <c r="Y70" s="24">
        <f t="shared" si="9"/>
        <v>0.3636520879225284</v>
      </c>
      <c r="Z70" s="24">
        <f t="shared" si="9"/>
        <v>0.34620267759039403</v>
      </c>
      <c r="AA70" s="24">
        <f t="shared" si="9"/>
        <v>0.36017256838296446</v>
      </c>
      <c r="AD70" s="134">
        <v>0.11941349273726169</v>
      </c>
      <c r="AE70" s="134">
        <v>0.15946689365686204</v>
      </c>
      <c r="AF70" s="134">
        <v>0.18076326177069504</v>
      </c>
      <c r="AG70" s="134">
        <v>0.12924125587058663</v>
      </c>
      <c r="AH70" s="134">
        <v>0.16727242112257604</v>
      </c>
    </row>
    <row r="71" spans="4:34">
      <c r="D71" s="36">
        <f t="shared" si="6"/>
        <v>2035</v>
      </c>
      <c r="E71" s="4">
        <v>3200.8714684509005</v>
      </c>
      <c r="F71" s="4">
        <v>6466.3351780180938</v>
      </c>
      <c r="G71" s="4">
        <v>6709.302915714009</v>
      </c>
      <c r="H71" s="4">
        <v>3842.1852333286542</v>
      </c>
      <c r="I71" s="4">
        <v>5640.4896982310347</v>
      </c>
      <c r="O71" s="4">
        <f t="shared" si="10"/>
        <v>2032</v>
      </c>
      <c r="P71" s="24">
        <f t="shared" si="12"/>
        <v>0.3574481052527787</v>
      </c>
      <c r="Q71" s="24">
        <f t="shared" si="12"/>
        <v>0.21669910556624253</v>
      </c>
      <c r="R71" s="24">
        <f t="shared" si="12"/>
        <v>0.18988971517996564</v>
      </c>
      <c r="S71" s="24">
        <f t="shared" si="12"/>
        <v>0.30186956916725527</v>
      </c>
      <c r="T71" s="24">
        <f t="shared" si="12"/>
        <v>0.21210105180095506</v>
      </c>
      <c r="W71" s="24">
        <f t="shared" si="9"/>
        <v>0.33828682754927497</v>
      </c>
      <c r="X71" s="24">
        <f t="shared" si="9"/>
        <v>0.36153325446258527</v>
      </c>
      <c r="Y71" s="24">
        <f t="shared" si="9"/>
        <v>0.36509115669795611</v>
      </c>
      <c r="Z71" s="24">
        <f t="shared" si="9"/>
        <v>0.34721288022722469</v>
      </c>
      <c r="AA71" s="24">
        <f t="shared" si="9"/>
        <v>0.36116151122493495</v>
      </c>
      <c r="AD71" s="134">
        <v>0.1202066786562189</v>
      </c>
      <c r="AE71" s="134">
        <v>0.1637644313949512</v>
      </c>
      <c r="AF71" s="134">
        <v>0.18683431680911933</v>
      </c>
      <c r="AG71" s="134">
        <v>0.13044837232113629</v>
      </c>
      <c r="AH71" s="134">
        <v>0.17073499391972272</v>
      </c>
    </row>
    <row r="72" spans="4:34">
      <c r="D72" s="36">
        <f t="shared" si="6"/>
        <v>2036</v>
      </c>
      <c r="E72" s="4">
        <v>3273.4424480113921</v>
      </c>
      <c r="F72" s="4">
        <v>6776.8973984133399</v>
      </c>
      <c r="G72" s="4">
        <v>6959.6764699789928</v>
      </c>
      <c r="H72" s="4">
        <v>3922.2991365774519</v>
      </c>
      <c r="I72" s="4">
        <v>5795.8544683642267</v>
      </c>
      <c r="O72" s="4">
        <f t="shared" si="10"/>
        <v>2033</v>
      </c>
      <c r="P72" s="24">
        <f t="shared" si="12"/>
        <v>0.35253688225541902</v>
      </c>
      <c r="Q72" s="24">
        <f t="shared" si="12"/>
        <v>0.20913924297243922</v>
      </c>
      <c r="R72" s="24">
        <f t="shared" si="12"/>
        <v>0.1826327202064105</v>
      </c>
      <c r="S72" s="24">
        <f t="shared" si="12"/>
        <v>0.2976304906666048</v>
      </c>
      <c r="T72" s="24">
        <f t="shared" si="12"/>
        <v>0.20704659785725399</v>
      </c>
      <c r="W72" s="24">
        <f t="shared" si="9"/>
        <v>0.33943482895388533</v>
      </c>
      <c r="X72" s="24">
        <f t="shared" si="9"/>
        <v>0.36299311642079246</v>
      </c>
      <c r="Y72" s="24">
        <f t="shared" si="9"/>
        <v>0.36643411656113273</v>
      </c>
      <c r="Z72" s="24">
        <f t="shared" si="9"/>
        <v>0.34820451554417042</v>
      </c>
      <c r="AA72" s="24">
        <f t="shared" si="9"/>
        <v>0.36210066024298571</v>
      </c>
      <c r="AD72" s="134">
        <v>0.12097483115186365</v>
      </c>
      <c r="AE72" s="134">
        <v>0.16824270087983101</v>
      </c>
      <c r="AF72" s="134">
        <v>0.19316808446131462</v>
      </c>
      <c r="AG72" s="134">
        <v>0.13170140352804441</v>
      </c>
      <c r="AH72" s="134">
        <v>0.17419914174842036</v>
      </c>
    </row>
    <row r="73" spans="4:34">
      <c r="D73" s="36">
        <f t="shared" si="6"/>
        <v>2037</v>
      </c>
      <c r="E73" s="4">
        <v>3344.4850778263681</v>
      </c>
      <c r="F73" s="4">
        <v>7096.8904513652251</v>
      </c>
      <c r="G73" s="4">
        <v>7209.3469667720428</v>
      </c>
      <c r="H73" s="4">
        <v>3999.1888853837904</v>
      </c>
      <c r="I73" s="4">
        <v>5946.5562659369425</v>
      </c>
      <c r="O73" s="4">
        <f t="shared" si="10"/>
        <v>2034</v>
      </c>
      <c r="P73" s="24">
        <f t="shared" si="12"/>
        <v>0.34755134583621405</v>
      </c>
      <c r="Q73" s="24">
        <f t="shared" si="12"/>
        <v>0.20278742359641061</v>
      </c>
      <c r="R73" s="24">
        <f t="shared" si="12"/>
        <v>0.17721421514012267</v>
      </c>
      <c r="S73" s="24">
        <f t="shared" si="12"/>
        <v>0.2940398168697736</v>
      </c>
      <c r="T73" s="24">
        <f t="shared" si="12"/>
        <v>0.20271014248398639</v>
      </c>
      <c r="W73" s="24">
        <f t="shared" si="9"/>
        <v>0.34058372370252832</v>
      </c>
      <c r="X73" s="24">
        <f t="shared" si="9"/>
        <v>0.36440978756975251</v>
      </c>
      <c r="Y73" s="24">
        <f t="shared" si="9"/>
        <v>0.36774300927941106</v>
      </c>
      <c r="Z73" s="24">
        <f t="shared" si="9"/>
        <v>0.3491517421735737</v>
      </c>
      <c r="AA73" s="24">
        <f t="shared" si="9"/>
        <v>0.36301667715592162</v>
      </c>
      <c r="AD73" s="134">
        <v>0.12173243982687709</v>
      </c>
      <c r="AE73" s="134">
        <v>0.17239842264870309</v>
      </c>
      <c r="AF73" s="134">
        <v>0.19820805225720095</v>
      </c>
      <c r="AG73" s="134">
        <v>0.13278409579048017</v>
      </c>
      <c r="AH73" s="134">
        <v>0.17723455286180925</v>
      </c>
    </row>
    <row r="74" spans="4:34">
      <c r="D74" s="36">
        <f t="shared" si="6"/>
        <v>2038</v>
      </c>
      <c r="E74" s="4">
        <v>3419.6345941862946</v>
      </c>
      <c r="F74" s="4">
        <v>7435.2464345254994</v>
      </c>
      <c r="G74" s="4">
        <v>7467.8125140569819</v>
      </c>
      <c r="H74" s="4">
        <v>4078.4002297507827</v>
      </c>
      <c r="I74" s="4">
        <v>6100.8060062790655</v>
      </c>
      <c r="O74" s="4">
        <f t="shared" si="10"/>
        <v>2035</v>
      </c>
      <c r="P74" s="24">
        <f t="shared" si="12"/>
        <v>0.34264235438856278</v>
      </c>
      <c r="Q74" s="24">
        <f t="shared" si="12"/>
        <v>0.1969125381610414</v>
      </c>
      <c r="R74" s="24">
        <f t="shared" si="12"/>
        <v>0.17229464376773485</v>
      </c>
      <c r="S74" s="24">
        <f t="shared" si="12"/>
        <v>0.29079433257913234</v>
      </c>
      <c r="T74" s="24">
        <f t="shared" si="12"/>
        <v>0.19876194509218637</v>
      </c>
      <c r="W74" s="24">
        <f t="shared" si="9"/>
        <v>0.3417479758123706</v>
      </c>
      <c r="X74" s="24">
        <f t="shared" si="9"/>
        <v>0.36555845391887265</v>
      </c>
      <c r="Y74" s="24">
        <f t="shared" si="9"/>
        <v>0.36863411195326745</v>
      </c>
      <c r="Z74" s="24">
        <f t="shared" si="9"/>
        <v>0.34996411937000932</v>
      </c>
      <c r="AA74" s="24">
        <f t="shared" si="9"/>
        <v>0.36378724978643645</v>
      </c>
      <c r="AD74" s="134">
        <v>0.12253812194646392</v>
      </c>
      <c r="AE74" s="134">
        <v>0.1765423052753009</v>
      </c>
      <c r="AF74" s="134">
        <v>0.2028978045852719</v>
      </c>
      <c r="AG74" s="134">
        <v>0.13387452775997499</v>
      </c>
      <c r="AH74" s="134">
        <v>0.18014616305794481</v>
      </c>
    </row>
    <row r="75" spans="4:34">
      <c r="D75" s="36">
        <f t="shared" si="6"/>
        <v>2039</v>
      </c>
      <c r="E75" s="4">
        <v>3497.6635161674722</v>
      </c>
      <c r="F75" s="4">
        <v>7789.2318283601917</v>
      </c>
      <c r="G75" s="4">
        <v>7731.1803166904247</v>
      </c>
      <c r="H75" s="4">
        <v>4158.8424227786982</v>
      </c>
      <c r="I75" s="4">
        <v>6254.363676660776</v>
      </c>
      <c r="O75" s="4">
        <f t="shared" si="10"/>
        <v>2036</v>
      </c>
      <c r="P75" s="24">
        <f t="shared" si="12"/>
        <v>0.33787973824145034</v>
      </c>
      <c r="Q75" s="24">
        <f t="shared" si="12"/>
        <v>0.19115762784367857</v>
      </c>
      <c r="R75" s="24">
        <f t="shared" si="12"/>
        <v>0.16752554306854206</v>
      </c>
      <c r="S75" s="24">
        <f t="shared" si="12"/>
        <v>0.28750706615645766</v>
      </c>
      <c r="T75" s="24">
        <f t="shared" si="12"/>
        <v>0.19504600299855621</v>
      </c>
      <c r="W75" s="24">
        <f t="shared" si="9"/>
        <v>0.3428868769939995</v>
      </c>
      <c r="X75" s="24">
        <f t="shared" si="9"/>
        <v>0.36665316873485831</v>
      </c>
      <c r="Y75" s="24">
        <f t="shared" si="9"/>
        <v>0.36953062158548394</v>
      </c>
      <c r="Z75" s="24">
        <f t="shared" si="9"/>
        <v>0.35073004119578849</v>
      </c>
      <c r="AA75" s="24">
        <f t="shared" si="9"/>
        <v>0.36449939556030653</v>
      </c>
      <c r="AD75" s="134">
        <v>0.12340344342013118</v>
      </c>
      <c r="AE75" s="134">
        <v>0.18072735670592779</v>
      </c>
      <c r="AF75" s="134">
        <v>0.20761846536543382</v>
      </c>
      <c r="AG75" s="134">
        <v>0.13489929730072808</v>
      </c>
      <c r="AH75" s="134">
        <v>0.18300549551090717</v>
      </c>
    </row>
    <row r="76" spans="4:34">
      <c r="D76" s="36">
        <f t="shared" si="6"/>
        <v>2040</v>
      </c>
      <c r="E76" s="4">
        <v>3576.292440549505</v>
      </c>
      <c r="F76" s="4">
        <v>8159.0038752649298</v>
      </c>
      <c r="G76" s="4">
        <v>7999.1433416400678</v>
      </c>
      <c r="H76" s="4">
        <v>4239.0439755736879</v>
      </c>
      <c r="I76" s="4">
        <v>6406.6094070572726</v>
      </c>
      <c r="O76" s="4">
        <f>O75+1</f>
        <v>2037</v>
      </c>
      <c r="P76" s="24">
        <f t="shared" si="12"/>
        <v>0.33331127545953398</v>
      </c>
      <c r="Q76" s="24">
        <f t="shared" si="12"/>
        <v>0.18563341625914284</v>
      </c>
      <c r="R76" s="24">
        <f t="shared" si="12"/>
        <v>0.16305106091496185</v>
      </c>
      <c r="S76" s="24">
        <f t="shared" si="12"/>
        <v>0.28437631631600407</v>
      </c>
      <c r="T76" s="24">
        <f t="shared" si="12"/>
        <v>0.19157515681343482</v>
      </c>
      <c r="W76" s="24">
        <f t="shared" si="9"/>
        <v>0.34403109498345008</v>
      </c>
      <c r="X76" s="24">
        <f t="shared" si="9"/>
        <v>0.36774450201300724</v>
      </c>
      <c r="Y76" s="24">
        <f t="shared" si="9"/>
        <v>0.37040126671145124</v>
      </c>
      <c r="Z76" s="24">
        <f t="shared" si="9"/>
        <v>0.3515506003631011</v>
      </c>
      <c r="AA76" s="24">
        <f t="shared" si="9"/>
        <v>0.36519880618112383</v>
      </c>
      <c r="AD76" s="134">
        <v>0.12435429065443965</v>
      </c>
      <c r="AE76" s="134">
        <v>0.18502448883483261</v>
      </c>
      <c r="AF76" s="134">
        <v>0.2124057606143992</v>
      </c>
      <c r="AG76" s="134">
        <v>0.13596352937197353</v>
      </c>
      <c r="AH76" s="134">
        <v>0.18583750259517223</v>
      </c>
    </row>
    <row r="77" spans="4:34">
      <c r="O77" s="4">
        <f>O76+1</f>
        <v>2038</v>
      </c>
      <c r="P77" s="24">
        <f t="shared" si="12"/>
        <v>0.32878223413103491</v>
      </c>
      <c r="Q77" s="24">
        <f t="shared" si="12"/>
        <v>0.18022332692222309</v>
      </c>
      <c r="R77" s="24">
        <f t="shared" si="12"/>
        <v>0.15875868392667006</v>
      </c>
      <c r="S77" s="24">
        <f t="shared" si="12"/>
        <v>0.28132504627928279</v>
      </c>
      <c r="T77" s="24">
        <f t="shared" si="12"/>
        <v>0.18830846376216659</v>
      </c>
      <c r="W77" s="24">
        <f t="shared" si="9"/>
        <v>0.34508221526335214</v>
      </c>
      <c r="X77" s="24">
        <f t="shared" si="9"/>
        <v>0.36878151151451927</v>
      </c>
      <c r="Y77" s="24">
        <f t="shared" si="9"/>
        <v>0.37121122164413894</v>
      </c>
      <c r="Z77" s="24">
        <f t="shared" si="9"/>
        <v>0.35229387853159067</v>
      </c>
      <c r="AA77" s="24">
        <f t="shared" si="9"/>
        <v>0.36584219995480155</v>
      </c>
      <c r="AD77" s="134">
        <v>0.12530473334761888</v>
      </c>
      <c r="AE77" s="134">
        <v>0.18937489810595309</v>
      </c>
      <c r="AF77" s="134">
        <v>0.21720551170146887</v>
      </c>
      <c r="AG77" s="134">
        <v>0.13700222965664291</v>
      </c>
      <c r="AH77" s="134">
        <v>0.18861075085587592</v>
      </c>
    </row>
    <row r="78" spans="4:34">
      <c r="O78" s="4">
        <f>O77+1</f>
        <v>2039</v>
      </c>
      <c r="P78" s="24">
        <f t="shared" si="12"/>
        <v>0.32420683052261356</v>
      </c>
      <c r="Q78" s="24">
        <f t="shared" si="12"/>
        <v>0.17499045296079455</v>
      </c>
      <c r="R78" s="24">
        <f t="shared" si="12"/>
        <v>0.1546303800054549</v>
      </c>
      <c r="S78" s="24">
        <f t="shared" si="12"/>
        <v>0.27829123071638029</v>
      </c>
      <c r="T78" s="24">
        <f t="shared" si="12"/>
        <v>0.18519669309540512</v>
      </c>
      <c r="W78" s="24">
        <f t="shared" si="9"/>
        <v>0.34613834365285107</v>
      </c>
      <c r="X78" s="24">
        <f t="shared" si="9"/>
        <v>0.36979313566176314</v>
      </c>
      <c r="Y78" s="24">
        <f t="shared" si="9"/>
        <v>0.37199078586352108</v>
      </c>
      <c r="Z78" s="24">
        <f t="shared" si="9"/>
        <v>0.35303843236241333</v>
      </c>
      <c r="AA78" s="24">
        <f t="shared" si="9"/>
        <v>0.36645032950945999</v>
      </c>
      <c r="AD78" s="134">
        <v>0.12625496058991256</v>
      </c>
      <c r="AE78" s="134">
        <v>0.19381739662234035</v>
      </c>
      <c r="AF78" s="134">
        <v>0.22202870848724457</v>
      </c>
      <c r="AG78" s="134">
        <v>0.13801930573878363</v>
      </c>
      <c r="AH78" s="134">
        <v>0.19131247438243448</v>
      </c>
    </row>
    <row r="79" spans="4:34">
      <c r="O79" s="4">
        <f>O78+1</f>
        <v>2040</v>
      </c>
      <c r="P79" s="24">
        <f t="shared" si="12"/>
        <v>0.31984321123193693</v>
      </c>
      <c r="Q79" s="24">
        <f t="shared" si="12"/>
        <v>0.16997429262194147</v>
      </c>
      <c r="R79" s="24">
        <f t="shared" si="12"/>
        <v>0.15070000881860313</v>
      </c>
      <c r="S79" s="24">
        <f t="shared" si="12"/>
        <v>0.27541354212455282</v>
      </c>
      <c r="T79" s="24">
        <f t="shared" si="12"/>
        <v>0.18229872058443697</v>
      </c>
      <c r="W79" s="24">
        <f t="shared" si="9"/>
        <v>0.34722920045983297</v>
      </c>
      <c r="X79" s="24">
        <f t="shared" si="9"/>
        <v>0.37076741870887886</v>
      </c>
      <c r="Y79" s="24">
        <f t="shared" si="9"/>
        <v>0.37274961675472074</v>
      </c>
      <c r="Z79" s="24">
        <f t="shared" si="9"/>
        <v>0.35379548979437919</v>
      </c>
      <c r="AA79" s="24">
        <f t="shared" si="9"/>
        <v>0.36704792998662689</v>
      </c>
      <c r="AD79" s="134">
        <v>0.12730516677749443</v>
      </c>
      <c r="AE79" s="134">
        <v>0.19836774769713977</v>
      </c>
      <c r="AF79" s="134">
        <v>0.22690071229319703</v>
      </c>
      <c r="AG79" s="134">
        <v>0.13906747977239522</v>
      </c>
      <c r="AH79" s="134">
        <v>0.19397499349971623</v>
      </c>
    </row>
    <row r="80" spans="4:34">
      <c r="W80" s="24"/>
      <c r="X80" s="24"/>
      <c r="Y80" s="24"/>
      <c r="Z80" s="24"/>
      <c r="AA80" s="24"/>
    </row>
    <row r="82" spans="2:15">
      <c r="K82" s="4" t="s">
        <v>288</v>
      </c>
    </row>
    <row r="83" spans="2:15">
      <c r="E83" s="4" t="s">
        <v>14</v>
      </c>
      <c r="F83" s="4" t="str">
        <f>P44</f>
        <v>hhd-le</v>
      </c>
      <c r="G83" s="4" t="str">
        <f>W44</f>
        <v>hhd-me</v>
      </c>
      <c r="H83" s="4" t="s">
        <v>284</v>
      </c>
      <c r="I83" s="4" t="s">
        <v>408</v>
      </c>
      <c r="K83" s="4" t="str">
        <f>E83</f>
        <v>GDP</v>
      </c>
      <c r="L83" s="4" t="str">
        <f>F83</f>
        <v>hhd-le</v>
      </c>
      <c r="M83" s="4" t="str">
        <f>G83</f>
        <v>hhd-me</v>
      </c>
      <c r="N83" s="4" t="str">
        <f>H83</f>
        <v>hhd-he</v>
      </c>
      <c r="O83" s="4" t="str">
        <f>I83</f>
        <v>he-Income</v>
      </c>
    </row>
    <row r="84" spans="2:15">
      <c r="B84" s="4">
        <v>1</v>
      </c>
      <c r="C84" s="4">
        <v>1</v>
      </c>
      <c r="D84" s="4">
        <v>2007</v>
      </c>
      <c r="E84" s="4">
        <f>INDEX($E$43:$I$76,$C84,$B84)/$E$43</f>
        <v>1</v>
      </c>
      <c r="F84" s="4">
        <f>INDEX($P$46:$T$79,$C84,$B84)</f>
        <v>0.50003199863472492</v>
      </c>
      <c r="G84" s="4">
        <f>INDEX($W$46:$AA$79,$C84,$B84)</f>
        <v>0.30001919918083497</v>
      </c>
      <c r="H84" s="4">
        <f>1-F84-G84</f>
        <v>0.19994880218444011</v>
      </c>
      <c r="I84" s="4">
        <f>INDEX($AD$46:$AH$79,$C84,$B84)/$AD$46</f>
        <v>1</v>
      </c>
      <c r="K84" s="4">
        <f>E84</f>
        <v>1</v>
      </c>
      <c r="L84" s="4">
        <f>0.5056*($K84^(-0.767))</f>
        <v>0.50560000000000005</v>
      </c>
      <c r="M84" s="4">
        <f>0.3092*($K84^(0.1426))</f>
        <v>0.30919999999999997</v>
      </c>
      <c r="N84" s="4">
        <f>1-L84-M84</f>
        <v>0.18519999999999998</v>
      </c>
      <c r="O84" s="4">
        <v>1</v>
      </c>
    </row>
    <row r="85" spans="2:15">
      <c r="B85" s="4">
        <f>IF(D84=2040,B84+1,B84)</f>
        <v>1</v>
      </c>
      <c r="C85" s="4">
        <f>IF(D84=2040,1,C84+1)</f>
        <v>2</v>
      </c>
      <c r="D85" s="4">
        <f>D84+1</f>
        <v>2008</v>
      </c>
      <c r="E85" s="4">
        <f t="shared" ref="E85:E148" si="13">INDEX($E$43:$I$76,$C85,$B85)/$E$43</f>
        <v>1.0234673413071198</v>
      </c>
      <c r="F85" s="4">
        <f t="shared" ref="F85:F148" si="14">INDEX($P$46:$T$79,$C85,$B85)</f>
        <v>0.49083032025929479</v>
      </c>
      <c r="G85" s="4">
        <f t="shared" ref="G85:G148" si="15">INDEX($W$46:$AA$79,$C85,$B85)</f>
        <v>0.3025143196109723</v>
      </c>
      <c r="H85" s="4">
        <f t="shared" ref="H85:H148" si="16">1-F85-G85</f>
        <v>0.20665536012973296</v>
      </c>
      <c r="I85" s="4">
        <f t="shared" ref="I85:I148" si="17">INDEX($AD$46:$AH$79,$C85,$B85)/$AD$46</f>
        <v>0.99317536763199576</v>
      </c>
      <c r="K85" s="4">
        <f t="shared" ref="K85:K148" si="18">E85</f>
        <v>1.0234673413071198</v>
      </c>
      <c r="L85" s="4">
        <f t="shared" ref="L85:L148" si="19">0.5056*($K85^(-0.767))</f>
        <v>0.49668416667478371</v>
      </c>
      <c r="M85" s="4">
        <f t="shared" ref="M85:M148" si="20">0.3092*$K85^(0.1426)</f>
        <v>0.31022445914324875</v>
      </c>
      <c r="N85" s="4">
        <f t="shared" ref="N85:N148" si="21">1-L85-M85</f>
        <v>0.19309137418196759</v>
      </c>
      <c r="O85" s="4">
        <f t="shared" ref="O85:O148" si="22">0.8923*(K85^0.4518)</f>
        <v>0.90170052220990049</v>
      </c>
    </row>
    <row r="86" spans="2:15">
      <c r="B86" s="4">
        <f t="shared" ref="B86:B149" si="23">IF(D85=2040,B85+1,B85)</f>
        <v>1</v>
      </c>
      <c r="C86" s="4">
        <f t="shared" ref="C86:C149" si="24">IF(D85=2040,1,C85+1)</f>
        <v>3</v>
      </c>
      <c r="D86" s="4">
        <f t="shared" ref="D86:D113" si="25">D85+1</f>
        <v>2009</v>
      </c>
      <c r="E86" s="4">
        <f t="shared" si="13"/>
        <v>1.046928407299635</v>
      </c>
      <c r="F86" s="4">
        <f t="shared" si="14"/>
        <v>0.48078921634160282</v>
      </c>
      <c r="G86" s="4">
        <f t="shared" si="15"/>
        <v>0.3050537056410953</v>
      </c>
      <c r="H86" s="4">
        <f t="shared" si="16"/>
        <v>0.21415707801730194</v>
      </c>
      <c r="I86" s="4">
        <f t="shared" si="17"/>
        <v>0.98034227218537651</v>
      </c>
      <c r="K86" s="4">
        <f t="shared" si="18"/>
        <v>1.046928407299635</v>
      </c>
      <c r="L86" s="4">
        <f t="shared" si="19"/>
        <v>0.48812464849349629</v>
      </c>
      <c r="M86" s="4">
        <f t="shared" si="20"/>
        <v>0.31122870607979669</v>
      </c>
      <c r="N86" s="4">
        <f t="shared" si="21"/>
        <v>0.20064664542670707</v>
      </c>
      <c r="O86" s="4">
        <f t="shared" si="22"/>
        <v>0.91098114106807648</v>
      </c>
    </row>
    <row r="87" spans="2:15">
      <c r="B87" s="4">
        <f t="shared" si="23"/>
        <v>1</v>
      </c>
      <c r="C87" s="4">
        <f t="shared" si="24"/>
        <v>4</v>
      </c>
      <c r="D87" s="4">
        <f t="shared" si="25"/>
        <v>2010</v>
      </c>
      <c r="E87" s="4">
        <f t="shared" si="13"/>
        <v>1.0709847508968577</v>
      </c>
      <c r="F87" s="4">
        <f t="shared" si="14"/>
        <v>0.47245797098666625</v>
      </c>
      <c r="G87" s="4">
        <f t="shared" si="15"/>
        <v>0.30755183292643545</v>
      </c>
      <c r="H87" s="4">
        <f t="shared" si="16"/>
        <v>0.21999019608689824</v>
      </c>
      <c r="I87" s="4">
        <f t="shared" si="17"/>
        <v>0.9742232186401677</v>
      </c>
      <c r="K87" s="4">
        <f t="shared" si="18"/>
        <v>1.0709847508968577</v>
      </c>
      <c r="L87" s="4">
        <f t="shared" si="19"/>
        <v>0.47969289283719663</v>
      </c>
      <c r="M87" s="4">
        <f t="shared" si="20"/>
        <v>0.31223859352537381</v>
      </c>
      <c r="N87" s="4">
        <f t="shared" si="21"/>
        <v>0.20806851363742956</v>
      </c>
      <c r="O87" s="4">
        <f t="shared" si="22"/>
        <v>0.92037959594145347</v>
      </c>
    </row>
    <row r="88" spans="2:15">
      <c r="B88" s="4">
        <f t="shared" si="23"/>
        <v>1</v>
      </c>
      <c r="C88" s="4">
        <f t="shared" si="24"/>
        <v>5</v>
      </c>
      <c r="D88" s="4">
        <f t="shared" si="25"/>
        <v>2011</v>
      </c>
      <c r="E88" s="4">
        <f t="shared" si="13"/>
        <v>1.0952578438583667</v>
      </c>
      <c r="F88" s="4">
        <f t="shared" si="14"/>
        <v>0.46466304555325494</v>
      </c>
      <c r="G88" s="4">
        <f t="shared" si="15"/>
        <v>0.30978743025682759</v>
      </c>
      <c r="H88" s="4">
        <f t="shared" si="16"/>
        <v>0.22554952418991742</v>
      </c>
      <c r="I88" s="4">
        <f t="shared" si="17"/>
        <v>0.96919434957000905</v>
      </c>
      <c r="K88" s="4">
        <f t="shared" si="18"/>
        <v>1.0952578438583667</v>
      </c>
      <c r="L88" s="4">
        <f t="shared" si="19"/>
        <v>0.47151770843700141</v>
      </c>
      <c r="M88" s="4">
        <f t="shared" si="20"/>
        <v>0.31323805592891008</v>
      </c>
      <c r="N88" s="4">
        <f t="shared" si="21"/>
        <v>0.21524423563408845</v>
      </c>
      <c r="O88" s="4">
        <f t="shared" si="22"/>
        <v>0.92974615268784477</v>
      </c>
    </row>
    <row r="89" spans="2:15">
      <c r="B89" s="4">
        <f t="shared" si="23"/>
        <v>1</v>
      </c>
      <c r="C89" s="4">
        <f t="shared" si="24"/>
        <v>6</v>
      </c>
      <c r="D89" s="4">
        <f t="shared" si="25"/>
        <v>2012</v>
      </c>
      <c r="E89" s="4">
        <f t="shared" si="13"/>
        <v>1.1195371697144316</v>
      </c>
      <c r="F89" s="4">
        <f t="shared" si="14"/>
        <v>0.45786418272191554</v>
      </c>
      <c r="G89" s="4">
        <f t="shared" si="15"/>
        <v>0.31196921710536585</v>
      </c>
      <c r="H89" s="4">
        <f t="shared" si="16"/>
        <v>0.23016660017271862</v>
      </c>
      <c r="I89" s="4">
        <f t="shared" si="17"/>
        <v>0.96768984806239766</v>
      </c>
      <c r="K89" s="4">
        <f t="shared" si="18"/>
        <v>1.1195371697144316</v>
      </c>
      <c r="L89" s="4">
        <f t="shared" si="19"/>
        <v>0.46365454637065545</v>
      </c>
      <c r="M89" s="4">
        <f t="shared" si="20"/>
        <v>0.31421895343745526</v>
      </c>
      <c r="N89" s="4">
        <f t="shared" si="21"/>
        <v>0.22212650019188934</v>
      </c>
      <c r="O89" s="4">
        <f t="shared" si="22"/>
        <v>0.93900195190233171</v>
      </c>
    </row>
    <row r="90" spans="2:15">
      <c r="B90" s="4">
        <f t="shared" si="23"/>
        <v>1</v>
      </c>
      <c r="C90" s="4">
        <f t="shared" si="24"/>
        <v>7</v>
      </c>
      <c r="D90" s="4">
        <f t="shared" si="25"/>
        <v>2013</v>
      </c>
      <c r="E90" s="4">
        <f t="shared" si="13"/>
        <v>1.1433075552901772</v>
      </c>
      <c r="F90" s="4">
        <f t="shared" si="14"/>
        <v>0.45237057995231905</v>
      </c>
      <c r="G90" s="4">
        <f t="shared" si="15"/>
        <v>0.3139245041025438</v>
      </c>
      <c r="H90" s="4">
        <f t="shared" si="16"/>
        <v>0.2337049159451372</v>
      </c>
      <c r="I90" s="4">
        <f t="shared" si="17"/>
        <v>0.97010983779654292</v>
      </c>
      <c r="K90" s="4">
        <f t="shared" si="18"/>
        <v>1.1433075552901772</v>
      </c>
      <c r="L90" s="4">
        <f t="shared" si="19"/>
        <v>0.45624276224414234</v>
      </c>
      <c r="M90" s="4">
        <f t="shared" si="20"/>
        <v>0.31516177626684755</v>
      </c>
      <c r="N90" s="4">
        <f t="shared" si="21"/>
        <v>0.22859546148901017</v>
      </c>
      <c r="O90" s="4">
        <f t="shared" si="22"/>
        <v>0.94795772398738143</v>
      </c>
    </row>
    <row r="91" spans="2:15">
      <c r="B91" s="4">
        <f t="shared" si="23"/>
        <v>1</v>
      </c>
      <c r="C91" s="4">
        <f t="shared" si="24"/>
        <v>8</v>
      </c>
      <c r="D91" s="4">
        <f t="shared" si="25"/>
        <v>2014</v>
      </c>
      <c r="E91" s="4">
        <f t="shared" si="13"/>
        <v>1.1663622092972685</v>
      </c>
      <c r="F91" s="4">
        <f t="shared" si="14"/>
        <v>0.4474410510739113</v>
      </c>
      <c r="G91" s="4">
        <f t="shared" si="15"/>
        <v>0.31562334949252491</v>
      </c>
      <c r="H91" s="4">
        <f t="shared" si="16"/>
        <v>0.23693559943356379</v>
      </c>
      <c r="I91" s="4">
        <f t="shared" si="17"/>
        <v>0.97343173260191973</v>
      </c>
      <c r="K91" s="4">
        <f t="shared" si="18"/>
        <v>1.1663622092972685</v>
      </c>
      <c r="L91" s="4">
        <f t="shared" si="19"/>
        <v>0.44930972314774725</v>
      </c>
      <c r="M91" s="4">
        <f t="shared" si="20"/>
        <v>0.31606028964694838</v>
      </c>
      <c r="N91" s="4">
        <f t="shared" si="21"/>
        <v>0.23462998720530442</v>
      </c>
      <c r="O91" s="4">
        <f t="shared" si="22"/>
        <v>0.95654683951119424</v>
      </c>
    </row>
    <row r="92" spans="2:15">
      <c r="B92" s="4">
        <f t="shared" si="23"/>
        <v>1</v>
      </c>
      <c r="C92" s="4">
        <f t="shared" si="24"/>
        <v>9</v>
      </c>
      <c r="D92" s="4">
        <f t="shared" si="25"/>
        <v>2015</v>
      </c>
      <c r="E92" s="4">
        <f t="shared" si="13"/>
        <v>1.1903171466802214</v>
      </c>
      <c r="F92" s="4">
        <f t="shared" si="14"/>
        <v>0.44169145516728003</v>
      </c>
      <c r="G92" s="4">
        <f t="shared" si="15"/>
        <v>0.31716231263226302</v>
      </c>
      <c r="H92" s="4">
        <f t="shared" si="16"/>
        <v>0.24114623220045694</v>
      </c>
      <c r="I92" s="4">
        <f t="shared" si="17"/>
        <v>0.97431533303184725</v>
      </c>
      <c r="K92" s="4">
        <f t="shared" si="18"/>
        <v>1.1903171466802214</v>
      </c>
      <c r="L92" s="4">
        <f t="shared" si="19"/>
        <v>0.44235789448981633</v>
      </c>
      <c r="M92" s="4">
        <f t="shared" si="20"/>
        <v>0.31697790069313542</v>
      </c>
      <c r="N92" s="4">
        <f t="shared" si="21"/>
        <v>0.24066420481704826</v>
      </c>
      <c r="O92" s="4">
        <f t="shared" si="22"/>
        <v>0.96537332919541108</v>
      </c>
    </row>
    <row r="93" spans="2:15">
      <c r="B93" s="4">
        <f t="shared" si="23"/>
        <v>1</v>
      </c>
      <c r="C93" s="4">
        <f t="shared" si="24"/>
        <v>10</v>
      </c>
      <c r="D93" s="4">
        <f t="shared" si="25"/>
        <v>2016</v>
      </c>
      <c r="E93" s="4">
        <f t="shared" si="13"/>
        <v>1.2158822394205109</v>
      </c>
      <c r="F93" s="4">
        <f t="shared" si="14"/>
        <v>0.43550762734205728</v>
      </c>
      <c r="G93" s="4">
        <f t="shared" si="15"/>
        <v>0.3188808709672164</v>
      </c>
      <c r="H93" s="4">
        <f t="shared" si="16"/>
        <v>0.24561150169072632</v>
      </c>
      <c r="I93" s="4">
        <f t="shared" si="17"/>
        <v>0.97631805166708119</v>
      </c>
      <c r="K93" s="4">
        <f t="shared" si="18"/>
        <v>1.2158822394205109</v>
      </c>
      <c r="L93" s="4">
        <f t="shared" si="19"/>
        <v>0.43520640017216683</v>
      </c>
      <c r="M93" s="4">
        <f t="shared" si="20"/>
        <v>0.31793988677936558</v>
      </c>
      <c r="N93" s="4">
        <f t="shared" si="21"/>
        <v>0.24685371304846759</v>
      </c>
      <c r="O93" s="4">
        <f t="shared" si="22"/>
        <v>0.97468633945193217</v>
      </c>
    </row>
    <row r="94" spans="2:15">
      <c r="B94" s="4">
        <f t="shared" si="23"/>
        <v>1</v>
      </c>
      <c r="C94" s="4">
        <f t="shared" si="24"/>
        <v>11</v>
      </c>
      <c r="D94" s="4">
        <f t="shared" si="25"/>
        <v>2017</v>
      </c>
      <c r="E94" s="4">
        <f t="shared" si="13"/>
        <v>1.2422132820938228</v>
      </c>
      <c r="F94" s="4">
        <f t="shared" si="14"/>
        <v>0.4291749964338013</v>
      </c>
      <c r="G94" s="4">
        <f t="shared" si="15"/>
        <v>0.32059337434204671</v>
      </c>
      <c r="H94" s="4">
        <f t="shared" si="16"/>
        <v>0.25023162922415199</v>
      </c>
      <c r="I94" s="4">
        <f t="shared" si="17"/>
        <v>0.97749990099422945</v>
      </c>
      <c r="K94" s="4">
        <f t="shared" si="18"/>
        <v>1.2422132820938228</v>
      </c>
      <c r="L94" s="4">
        <f t="shared" si="19"/>
        <v>0.42811318558948569</v>
      </c>
      <c r="M94" s="4">
        <f t="shared" si="20"/>
        <v>0.31891273265166348</v>
      </c>
      <c r="N94" s="4">
        <f t="shared" si="21"/>
        <v>0.25297408175885078</v>
      </c>
      <c r="O94" s="4">
        <f t="shared" si="22"/>
        <v>0.98416682611904405</v>
      </c>
    </row>
    <row r="95" spans="2:15">
      <c r="B95" s="4">
        <f t="shared" si="23"/>
        <v>1</v>
      </c>
      <c r="C95" s="4">
        <f t="shared" si="24"/>
        <v>12</v>
      </c>
      <c r="D95" s="4">
        <f t="shared" si="25"/>
        <v>2018</v>
      </c>
      <c r="E95" s="4">
        <f t="shared" si="13"/>
        <v>1.2692919683627784</v>
      </c>
      <c r="F95" s="4">
        <f t="shared" si="14"/>
        <v>0.42369219736938185</v>
      </c>
      <c r="G95" s="4">
        <f t="shared" si="15"/>
        <v>0.32178344489345939</v>
      </c>
      <c r="H95" s="4">
        <f t="shared" si="16"/>
        <v>0.2545243577371587</v>
      </c>
      <c r="I95" s="4">
        <f t="shared" si="17"/>
        <v>0.98066399748259525</v>
      </c>
      <c r="K95" s="4">
        <f t="shared" si="18"/>
        <v>1.2692919683627784</v>
      </c>
      <c r="L95" s="4">
        <f t="shared" si="19"/>
        <v>0.42109042882290698</v>
      </c>
      <c r="M95" s="4">
        <f t="shared" si="20"/>
        <v>0.31989493197656937</v>
      </c>
      <c r="N95" s="4">
        <f t="shared" si="21"/>
        <v>0.2590146392005237</v>
      </c>
      <c r="O95" s="4">
        <f t="shared" si="22"/>
        <v>0.99380228998688358</v>
      </c>
    </row>
    <row r="96" spans="2:15">
      <c r="B96" s="4">
        <f t="shared" si="23"/>
        <v>1</v>
      </c>
      <c r="C96" s="4">
        <f t="shared" si="24"/>
        <v>13</v>
      </c>
      <c r="D96" s="4">
        <f t="shared" si="25"/>
        <v>2019</v>
      </c>
      <c r="E96" s="4">
        <f t="shared" si="13"/>
        <v>1.2965100785412003</v>
      </c>
      <c r="F96" s="4">
        <f t="shared" si="14"/>
        <v>0.41824825517086295</v>
      </c>
      <c r="G96" s="4">
        <f t="shared" si="15"/>
        <v>0.3230165441995364</v>
      </c>
      <c r="H96" s="4">
        <f t="shared" si="16"/>
        <v>0.25873520062960065</v>
      </c>
      <c r="I96" s="4">
        <f t="shared" si="17"/>
        <v>0.98397941863121174</v>
      </c>
      <c r="K96" s="4">
        <f t="shared" si="18"/>
        <v>1.2965100785412003</v>
      </c>
      <c r="L96" s="4">
        <f t="shared" si="19"/>
        <v>0.41429334032237958</v>
      </c>
      <c r="M96" s="4">
        <f t="shared" si="20"/>
        <v>0.32086424744318737</v>
      </c>
      <c r="N96" s="4">
        <f t="shared" si="21"/>
        <v>0.264842412234433</v>
      </c>
      <c r="O96" s="4">
        <f t="shared" si="22"/>
        <v>1.0033744624544545</v>
      </c>
    </row>
    <row r="97" spans="2:15">
      <c r="B97" s="4">
        <f t="shared" si="23"/>
        <v>1</v>
      </c>
      <c r="C97" s="4">
        <f t="shared" si="24"/>
        <v>14</v>
      </c>
      <c r="D97" s="4">
        <f t="shared" si="25"/>
        <v>2020</v>
      </c>
      <c r="E97" s="4">
        <f t="shared" si="13"/>
        <v>1.3244546992562132</v>
      </c>
      <c r="F97" s="4">
        <f t="shared" si="14"/>
        <v>0.41289247231287635</v>
      </c>
      <c r="G97" s="4">
        <f t="shared" si="15"/>
        <v>0.32426829996956641</v>
      </c>
      <c r="H97" s="4">
        <f t="shared" si="16"/>
        <v>0.26283922771755719</v>
      </c>
      <c r="I97" s="4">
        <f t="shared" si="17"/>
        <v>0.98786163668104987</v>
      </c>
      <c r="K97" s="4">
        <f t="shared" si="18"/>
        <v>1.3244546992562132</v>
      </c>
      <c r="L97" s="4">
        <f t="shared" si="19"/>
        <v>0.40757224631010625</v>
      </c>
      <c r="M97" s="4">
        <f t="shared" si="20"/>
        <v>0.32184145053668017</v>
      </c>
      <c r="N97" s="4">
        <f t="shared" si="21"/>
        <v>0.27058630315321358</v>
      </c>
      <c r="O97" s="4">
        <f t="shared" si="22"/>
        <v>1.0130882040227938</v>
      </c>
    </row>
    <row r="98" spans="2:15">
      <c r="B98" s="4">
        <f t="shared" si="23"/>
        <v>1</v>
      </c>
      <c r="C98" s="4">
        <f t="shared" si="24"/>
        <v>15</v>
      </c>
      <c r="D98" s="4">
        <f t="shared" si="25"/>
        <v>2021</v>
      </c>
      <c r="E98" s="4">
        <f t="shared" si="13"/>
        <v>1.3523000270119017</v>
      </c>
      <c r="F98" s="4">
        <f t="shared" si="14"/>
        <v>0.40781528639174419</v>
      </c>
      <c r="G98" s="4">
        <f t="shared" si="15"/>
        <v>0.32553909165826528</v>
      </c>
      <c r="H98" s="4">
        <f t="shared" si="16"/>
        <v>0.26664562194999059</v>
      </c>
      <c r="I98" s="4">
        <f t="shared" si="17"/>
        <v>0.99291811780550687</v>
      </c>
      <c r="K98" s="4">
        <f t="shared" si="18"/>
        <v>1.3523000270119017</v>
      </c>
      <c r="L98" s="4">
        <f t="shared" si="19"/>
        <v>0.40111973599841411</v>
      </c>
      <c r="M98" s="4">
        <f t="shared" si="20"/>
        <v>0.3227977531507934</v>
      </c>
      <c r="N98" s="4">
        <f t="shared" si="21"/>
        <v>0.2760825108507925</v>
      </c>
      <c r="O98" s="4">
        <f t="shared" si="22"/>
        <v>1.0226563044050725</v>
      </c>
    </row>
    <row r="99" spans="2:15">
      <c r="B99" s="4">
        <f t="shared" si="23"/>
        <v>1</v>
      </c>
      <c r="C99" s="4">
        <f t="shared" si="24"/>
        <v>16</v>
      </c>
      <c r="D99" s="4">
        <f t="shared" si="25"/>
        <v>2022</v>
      </c>
      <c r="E99" s="4">
        <f t="shared" si="13"/>
        <v>1.3806489843284251</v>
      </c>
      <c r="F99" s="4">
        <f t="shared" si="14"/>
        <v>0.40301839677722479</v>
      </c>
      <c r="G99" s="4">
        <f t="shared" si="15"/>
        <v>0.32675916700555058</v>
      </c>
      <c r="H99" s="4">
        <f t="shared" si="16"/>
        <v>0.27022243621722469</v>
      </c>
      <c r="I99" s="4">
        <f t="shared" si="17"/>
        <v>0.99890950631964615</v>
      </c>
      <c r="K99" s="4">
        <f t="shared" si="18"/>
        <v>1.3806489843284251</v>
      </c>
      <c r="L99" s="4">
        <f t="shared" si="19"/>
        <v>0.39478731630266733</v>
      </c>
      <c r="M99" s="4">
        <f t="shared" si="20"/>
        <v>0.32375416236106686</v>
      </c>
      <c r="N99" s="4">
        <f t="shared" si="21"/>
        <v>0.28145852133626575</v>
      </c>
      <c r="O99" s="4">
        <f t="shared" si="22"/>
        <v>1.0322871419991784</v>
      </c>
    </row>
    <row r="100" spans="2:15">
      <c r="B100" s="4">
        <f t="shared" si="23"/>
        <v>1</v>
      </c>
      <c r="C100" s="4">
        <f t="shared" si="24"/>
        <v>17</v>
      </c>
      <c r="D100" s="4">
        <f t="shared" si="25"/>
        <v>2023</v>
      </c>
      <c r="E100" s="4">
        <f t="shared" si="13"/>
        <v>1.4089166803603983</v>
      </c>
      <c r="F100" s="4">
        <f t="shared" si="14"/>
        <v>0.39833169703558774</v>
      </c>
      <c r="G100" s="4">
        <f t="shared" si="15"/>
        <v>0.32794718285324592</v>
      </c>
      <c r="H100" s="4">
        <f t="shared" si="16"/>
        <v>0.27372112011116639</v>
      </c>
      <c r="I100" s="4">
        <f t="shared" si="17"/>
        <v>1.0053007750830631</v>
      </c>
      <c r="K100" s="4">
        <f t="shared" si="18"/>
        <v>1.4089166803603983</v>
      </c>
      <c r="L100" s="4">
        <f t="shared" si="19"/>
        <v>0.38869775462495609</v>
      </c>
      <c r="M100" s="4">
        <f t="shared" si="20"/>
        <v>0.32469120921635664</v>
      </c>
      <c r="N100" s="4">
        <f t="shared" si="21"/>
        <v>0.28661103615868722</v>
      </c>
      <c r="O100" s="4">
        <f t="shared" si="22"/>
        <v>1.0417830243707935</v>
      </c>
    </row>
    <row r="101" spans="2:15">
      <c r="B101" s="4">
        <f t="shared" si="23"/>
        <v>1</v>
      </c>
      <c r="C101" s="4">
        <f t="shared" si="24"/>
        <v>18</v>
      </c>
      <c r="D101" s="4">
        <f t="shared" si="25"/>
        <v>2024</v>
      </c>
      <c r="E101" s="4">
        <f t="shared" si="13"/>
        <v>1.4380130724792715</v>
      </c>
      <c r="F101" s="4">
        <f t="shared" si="14"/>
        <v>0.39362016200898453</v>
      </c>
      <c r="G101" s="4">
        <f t="shared" si="15"/>
        <v>0.32912677362423437</v>
      </c>
      <c r="H101" s="4">
        <f t="shared" si="16"/>
        <v>0.2772530643667811</v>
      </c>
      <c r="I101" s="4">
        <f t="shared" si="17"/>
        <v>1.0117074082152113</v>
      </c>
      <c r="K101" s="4">
        <f t="shared" si="18"/>
        <v>1.4380130724792715</v>
      </c>
      <c r="L101" s="4">
        <f t="shared" si="19"/>
        <v>0.38265110476234648</v>
      </c>
      <c r="M101" s="4">
        <f t="shared" si="20"/>
        <v>0.32563903972704417</v>
      </c>
      <c r="N101" s="4">
        <f t="shared" si="21"/>
        <v>0.29170985551060941</v>
      </c>
      <c r="O101" s="4">
        <f t="shared" si="22"/>
        <v>1.0514488284106671</v>
      </c>
    </row>
    <row r="102" spans="2:15">
      <c r="B102" s="4">
        <f t="shared" si="23"/>
        <v>1</v>
      </c>
      <c r="C102" s="4">
        <f t="shared" si="24"/>
        <v>19</v>
      </c>
      <c r="D102" s="4">
        <f t="shared" si="25"/>
        <v>2025</v>
      </c>
      <c r="E102" s="4">
        <f t="shared" si="13"/>
        <v>1.4682415179192976</v>
      </c>
      <c r="F102" s="4">
        <f t="shared" si="14"/>
        <v>0.38889244452050048</v>
      </c>
      <c r="G102" s="4">
        <f t="shared" si="15"/>
        <v>0.33031357857850902</v>
      </c>
      <c r="H102" s="4">
        <f t="shared" si="16"/>
        <v>0.28079397690099056</v>
      </c>
      <c r="I102" s="4">
        <f t="shared" si="17"/>
        <v>1.0182076760008196</v>
      </c>
      <c r="K102" s="4">
        <f t="shared" si="18"/>
        <v>1.4682415179192976</v>
      </c>
      <c r="L102" s="4">
        <f t="shared" si="19"/>
        <v>0.37659398776235092</v>
      </c>
      <c r="M102" s="4">
        <f t="shared" si="20"/>
        <v>0.32660648885307147</v>
      </c>
      <c r="N102" s="4">
        <f t="shared" si="21"/>
        <v>0.29679952338457755</v>
      </c>
      <c r="O102" s="4">
        <f t="shared" si="22"/>
        <v>1.0613778101609637</v>
      </c>
    </row>
    <row r="103" spans="2:15">
      <c r="B103" s="4">
        <f t="shared" si="23"/>
        <v>1</v>
      </c>
      <c r="C103" s="4">
        <f t="shared" si="24"/>
        <v>20</v>
      </c>
      <c r="D103" s="4">
        <f t="shared" si="25"/>
        <v>2026</v>
      </c>
      <c r="E103" s="4">
        <f t="shared" si="13"/>
        <v>1.4999649113180205</v>
      </c>
      <c r="F103" s="4">
        <f t="shared" si="14"/>
        <v>0.3839890137875735</v>
      </c>
      <c r="G103" s="4">
        <f t="shared" si="15"/>
        <v>0.33147971789271508</v>
      </c>
      <c r="H103" s="4">
        <f t="shared" si="16"/>
        <v>0.28453126831971148</v>
      </c>
      <c r="I103" s="4">
        <f t="shared" si="17"/>
        <v>1.0242004890806942</v>
      </c>
      <c r="K103" s="4">
        <f t="shared" si="18"/>
        <v>1.4999649113180205</v>
      </c>
      <c r="L103" s="4">
        <f t="shared" si="19"/>
        <v>0.37046984341659789</v>
      </c>
      <c r="M103" s="4">
        <f t="shared" si="20"/>
        <v>0.32760358833630188</v>
      </c>
      <c r="N103" s="4">
        <f t="shared" si="21"/>
        <v>0.30192656824710029</v>
      </c>
      <c r="O103" s="4">
        <f t="shared" si="22"/>
        <v>1.0716780455885109</v>
      </c>
    </row>
    <row r="104" spans="2:15">
      <c r="B104" s="4">
        <f t="shared" si="23"/>
        <v>1</v>
      </c>
      <c r="C104" s="4">
        <f t="shared" si="24"/>
        <v>21</v>
      </c>
      <c r="D104" s="4">
        <f t="shared" si="25"/>
        <v>2027</v>
      </c>
      <c r="E104" s="4">
        <f t="shared" si="13"/>
        <v>1.5317018366520871</v>
      </c>
      <c r="F104" s="4">
        <f t="shared" si="14"/>
        <v>0.379286434164672</v>
      </c>
      <c r="G104" s="4">
        <f t="shared" si="15"/>
        <v>0.33271273339689006</v>
      </c>
      <c r="H104" s="4">
        <f t="shared" si="16"/>
        <v>0.28800083243843794</v>
      </c>
      <c r="I104" s="4">
        <f t="shared" si="17"/>
        <v>1.0311786241298362</v>
      </c>
      <c r="K104" s="4">
        <f t="shared" si="18"/>
        <v>1.5317018366520871</v>
      </c>
      <c r="L104" s="4">
        <f t="shared" si="19"/>
        <v>0.36456790155964841</v>
      </c>
      <c r="M104" s="4">
        <f t="shared" si="20"/>
        <v>0.32858318191161595</v>
      </c>
      <c r="N104" s="4">
        <f t="shared" si="21"/>
        <v>0.30684891652873569</v>
      </c>
      <c r="O104" s="4">
        <f t="shared" si="22"/>
        <v>1.0818638555538918</v>
      </c>
    </row>
    <row r="105" spans="2:15">
      <c r="B105" s="4">
        <f t="shared" si="23"/>
        <v>1</v>
      </c>
      <c r="C105" s="4">
        <f t="shared" si="24"/>
        <v>22</v>
      </c>
      <c r="D105" s="4">
        <f t="shared" si="25"/>
        <v>2028</v>
      </c>
      <c r="E105" s="4">
        <f t="shared" si="13"/>
        <v>1.5631482567011028</v>
      </c>
      <c r="F105" s="4">
        <f t="shared" si="14"/>
        <v>0.37488571784427555</v>
      </c>
      <c r="G105" s="4">
        <f t="shared" si="15"/>
        <v>0.33390339701948885</v>
      </c>
      <c r="H105" s="4">
        <f t="shared" si="16"/>
        <v>0.29121088513623566</v>
      </c>
      <c r="I105" s="4">
        <f t="shared" si="17"/>
        <v>1.0391518474747876</v>
      </c>
      <c r="K105" s="4">
        <f t="shared" si="18"/>
        <v>1.5631482567011028</v>
      </c>
      <c r="L105" s="4">
        <f t="shared" si="19"/>
        <v>0.35892931855654386</v>
      </c>
      <c r="M105" s="4">
        <f t="shared" si="20"/>
        <v>0.32953679199280345</v>
      </c>
      <c r="N105" s="4">
        <f t="shared" si="21"/>
        <v>0.31153388945065269</v>
      </c>
      <c r="O105" s="4">
        <f t="shared" si="22"/>
        <v>1.0918429395635603</v>
      </c>
    </row>
    <row r="106" spans="2:15">
      <c r="B106" s="4">
        <f t="shared" si="23"/>
        <v>1</v>
      </c>
      <c r="C106" s="4">
        <f t="shared" si="24"/>
        <v>23</v>
      </c>
      <c r="D106" s="4">
        <f t="shared" si="25"/>
        <v>2029</v>
      </c>
      <c r="E106" s="4">
        <f t="shared" si="13"/>
        <v>1.5946771765828738</v>
      </c>
      <c r="F106" s="4">
        <f t="shared" si="14"/>
        <v>0.37068090076317184</v>
      </c>
      <c r="G106" s="4">
        <f t="shared" si="15"/>
        <v>0.33505024113074838</v>
      </c>
      <c r="H106" s="4">
        <f t="shared" si="16"/>
        <v>0.29426885810607978</v>
      </c>
      <c r="I106" s="4">
        <f t="shared" si="17"/>
        <v>1.0477648173307088</v>
      </c>
      <c r="K106" s="4">
        <f t="shared" si="18"/>
        <v>1.5946771765828738</v>
      </c>
      <c r="L106" s="4">
        <f t="shared" si="19"/>
        <v>0.35347364971724604</v>
      </c>
      <c r="M106" s="4">
        <f t="shared" si="20"/>
        <v>0.33047653118798831</v>
      </c>
      <c r="N106" s="4">
        <f t="shared" si="21"/>
        <v>0.31604981909476565</v>
      </c>
      <c r="O106" s="4">
        <f t="shared" si="22"/>
        <v>1.1017383181392477</v>
      </c>
    </row>
    <row r="107" spans="2:15">
      <c r="B107" s="4">
        <f t="shared" si="23"/>
        <v>1</v>
      </c>
      <c r="C107" s="4">
        <f t="shared" si="24"/>
        <v>24</v>
      </c>
      <c r="D107" s="4">
        <f t="shared" si="25"/>
        <v>2030</v>
      </c>
      <c r="E107" s="4">
        <f t="shared" si="13"/>
        <v>1.626434892866619</v>
      </c>
      <c r="F107" s="4">
        <f t="shared" si="14"/>
        <v>0.36657029281793774</v>
      </c>
      <c r="G107" s="4">
        <f t="shared" si="15"/>
        <v>0.33614686629666934</v>
      </c>
      <c r="H107" s="4">
        <f t="shared" si="16"/>
        <v>0.29728284088539292</v>
      </c>
      <c r="I107" s="4">
        <f t="shared" si="17"/>
        <v>1.0566669682115084</v>
      </c>
      <c r="K107" s="4">
        <f t="shared" si="18"/>
        <v>1.626434892866619</v>
      </c>
      <c r="L107" s="4">
        <f t="shared" si="19"/>
        <v>0.34816774083518698</v>
      </c>
      <c r="M107" s="4">
        <f t="shared" si="20"/>
        <v>0.33140712121914156</v>
      </c>
      <c r="N107" s="4">
        <f t="shared" si="21"/>
        <v>0.32042513794567146</v>
      </c>
      <c r="O107" s="4">
        <f t="shared" si="22"/>
        <v>1.1115976662459219</v>
      </c>
    </row>
    <row r="108" spans="2:15">
      <c r="B108" s="4">
        <f t="shared" si="23"/>
        <v>1</v>
      </c>
      <c r="C108" s="4">
        <f t="shared" si="24"/>
        <v>25</v>
      </c>
      <c r="D108" s="4">
        <f t="shared" si="25"/>
        <v>2031</v>
      </c>
      <c r="E108" s="4">
        <f t="shared" si="13"/>
        <v>1.6609138933334202</v>
      </c>
      <c r="F108" s="4">
        <f t="shared" si="14"/>
        <v>0.36220101692941098</v>
      </c>
      <c r="G108" s="4">
        <f t="shared" si="15"/>
        <v>0.33719137165479784</v>
      </c>
      <c r="H108" s="4">
        <f t="shared" si="16"/>
        <v>0.30060761141579118</v>
      </c>
      <c r="I108" s="4">
        <f t="shared" si="17"/>
        <v>1.0647062467952595</v>
      </c>
      <c r="K108" s="4">
        <f t="shared" si="18"/>
        <v>1.6609138933334202</v>
      </c>
      <c r="L108" s="4">
        <f t="shared" si="19"/>
        <v>0.34261062397014425</v>
      </c>
      <c r="M108" s="4">
        <f t="shared" si="20"/>
        <v>0.33239997638887597</v>
      </c>
      <c r="N108" s="4">
        <f t="shared" si="21"/>
        <v>0.32498939964097973</v>
      </c>
      <c r="O108" s="4">
        <f t="shared" si="22"/>
        <v>1.1221830919772919</v>
      </c>
    </row>
    <row r="109" spans="2:15">
      <c r="B109" s="4">
        <f t="shared" si="23"/>
        <v>1</v>
      </c>
      <c r="C109" s="4">
        <f t="shared" si="24"/>
        <v>26</v>
      </c>
      <c r="D109" s="4">
        <f t="shared" si="25"/>
        <v>2032</v>
      </c>
      <c r="E109" s="4">
        <f t="shared" si="13"/>
        <v>1.6973603351399855</v>
      </c>
      <c r="F109" s="4">
        <f t="shared" si="14"/>
        <v>0.3574481052527787</v>
      </c>
      <c r="G109" s="4">
        <f t="shared" si="15"/>
        <v>0.33828682754927497</v>
      </c>
      <c r="H109" s="4">
        <f t="shared" si="16"/>
        <v>0.30426506719794633</v>
      </c>
      <c r="I109" s="4">
        <f t="shared" si="17"/>
        <v>1.0717783957076266</v>
      </c>
      <c r="K109" s="4">
        <f t="shared" si="18"/>
        <v>1.6973603351399855</v>
      </c>
      <c r="L109" s="4">
        <f t="shared" si="19"/>
        <v>0.33695380861217217</v>
      </c>
      <c r="M109" s="4">
        <f t="shared" si="20"/>
        <v>0.33343045468535859</v>
      </c>
      <c r="N109" s="4">
        <f t="shared" si="21"/>
        <v>0.32961573670246924</v>
      </c>
      <c r="O109" s="4">
        <f t="shared" si="22"/>
        <v>1.1332423822594466</v>
      </c>
    </row>
    <row r="110" spans="2:15">
      <c r="B110" s="4">
        <f t="shared" si="23"/>
        <v>1</v>
      </c>
      <c r="C110" s="4">
        <f t="shared" si="24"/>
        <v>27</v>
      </c>
      <c r="D110" s="4">
        <f t="shared" si="25"/>
        <v>2033</v>
      </c>
      <c r="E110" s="4">
        <f t="shared" si="13"/>
        <v>1.7354863941264391</v>
      </c>
      <c r="F110" s="4">
        <f t="shared" si="14"/>
        <v>0.35253688225541902</v>
      </c>
      <c r="G110" s="4">
        <f t="shared" si="15"/>
        <v>0.33943482895388533</v>
      </c>
      <c r="H110" s="4">
        <f t="shared" si="16"/>
        <v>0.30802828879069566</v>
      </c>
      <c r="I110" s="4">
        <f t="shared" si="17"/>
        <v>1.0786273433588256</v>
      </c>
      <c r="K110" s="4">
        <f t="shared" si="18"/>
        <v>1.7354863941264391</v>
      </c>
      <c r="L110" s="4">
        <f t="shared" si="19"/>
        <v>0.33126152337472631</v>
      </c>
      <c r="M110" s="4">
        <f t="shared" si="20"/>
        <v>0.33448831462204892</v>
      </c>
      <c r="N110" s="4">
        <f t="shared" si="21"/>
        <v>0.33425016200322483</v>
      </c>
      <c r="O110" s="4">
        <f t="shared" si="22"/>
        <v>1.1446728896093987</v>
      </c>
    </row>
    <row r="111" spans="2:15">
      <c r="B111" s="4">
        <f t="shared" si="23"/>
        <v>1</v>
      </c>
      <c r="C111" s="4">
        <f t="shared" si="24"/>
        <v>28</v>
      </c>
      <c r="D111" s="4">
        <f t="shared" si="25"/>
        <v>2034</v>
      </c>
      <c r="E111" s="4">
        <f t="shared" si="13"/>
        <v>1.7752554491278587</v>
      </c>
      <c r="F111" s="4">
        <f t="shared" si="14"/>
        <v>0.34755134583621405</v>
      </c>
      <c r="G111" s="4">
        <f t="shared" si="15"/>
        <v>0.34058372370252832</v>
      </c>
      <c r="H111" s="4">
        <f t="shared" si="16"/>
        <v>0.31186493046125763</v>
      </c>
      <c r="I111" s="4">
        <f t="shared" si="17"/>
        <v>1.0853822809326548</v>
      </c>
      <c r="K111" s="4">
        <f t="shared" si="18"/>
        <v>1.7752554491278587</v>
      </c>
      <c r="L111" s="4">
        <f t="shared" si="19"/>
        <v>0.32555471526790675</v>
      </c>
      <c r="M111" s="4">
        <f t="shared" si="20"/>
        <v>0.33557073804055232</v>
      </c>
      <c r="N111" s="4">
        <f t="shared" si="21"/>
        <v>0.33887454669154088</v>
      </c>
      <c r="O111" s="4">
        <f t="shared" si="22"/>
        <v>1.1564502304372912</v>
      </c>
    </row>
    <row r="112" spans="2:15">
      <c r="B112" s="4">
        <f t="shared" si="23"/>
        <v>1</v>
      </c>
      <c r="C112" s="4">
        <f t="shared" si="24"/>
        <v>29</v>
      </c>
      <c r="D112" s="4">
        <f t="shared" si="25"/>
        <v>2035</v>
      </c>
      <c r="E112" s="4">
        <f t="shared" si="13"/>
        <v>1.81542173575882</v>
      </c>
      <c r="F112" s="4">
        <f t="shared" si="14"/>
        <v>0.34264235438856278</v>
      </c>
      <c r="G112" s="4">
        <f t="shared" si="15"/>
        <v>0.3417479758123706</v>
      </c>
      <c r="H112" s="4">
        <f t="shared" si="16"/>
        <v>0.31560966979906657</v>
      </c>
      <c r="I112" s="4">
        <f t="shared" si="17"/>
        <v>1.0925658475966225</v>
      </c>
      <c r="K112" s="4">
        <f t="shared" si="18"/>
        <v>1.81542173575882</v>
      </c>
      <c r="L112" s="4">
        <f t="shared" si="19"/>
        <v>0.32001571010911367</v>
      </c>
      <c r="M112" s="4">
        <f t="shared" si="20"/>
        <v>0.33664307191215481</v>
      </c>
      <c r="N112" s="4">
        <f t="shared" si="21"/>
        <v>0.34334121797873152</v>
      </c>
      <c r="O112" s="4">
        <f t="shared" si="22"/>
        <v>1.1681992993777173</v>
      </c>
    </row>
    <row r="113" spans="2:15">
      <c r="B113" s="4">
        <f t="shared" si="23"/>
        <v>1</v>
      </c>
      <c r="C113" s="4">
        <f t="shared" si="24"/>
        <v>30</v>
      </c>
      <c r="D113" s="4">
        <f t="shared" si="25"/>
        <v>2036</v>
      </c>
      <c r="E113" s="4">
        <f t="shared" si="13"/>
        <v>1.8565814433503236</v>
      </c>
      <c r="F113" s="4">
        <f t="shared" si="14"/>
        <v>0.33787973824145034</v>
      </c>
      <c r="G113" s="4">
        <f t="shared" si="15"/>
        <v>0.3428868769939995</v>
      </c>
      <c r="H113" s="4">
        <f t="shared" si="16"/>
        <v>0.31923338476455015</v>
      </c>
      <c r="I113" s="4">
        <f t="shared" si="17"/>
        <v>1.1002811665055727</v>
      </c>
      <c r="K113" s="4">
        <f t="shared" si="18"/>
        <v>1.8565814433503236</v>
      </c>
      <c r="L113" s="4">
        <f t="shared" si="19"/>
        <v>0.31455994714632807</v>
      </c>
      <c r="M113" s="4">
        <f t="shared" si="20"/>
        <v>0.33772102787652802</v>
      </c>
      <c r="N113" s="4">
        <f t="shared" si="21"/>
        <v>0.34771902497714391</v>
      </c>
      <c r="O113" s="4">
        <f t="shared" si="22"/>
        <v>1.180092039030066</v>
      </c>
    </row>
    <row r="114" spans="2:15">
      <c r="B114" s="4">
        <f t="shared" si="23"/>
        <v>1</v>
      </c>
      <c r="C114" s="4">
        <f t="shared" si="24"/>
        <v>31</v>
      </c>
      <c r="D114" s="4">
        <f>D113+1</f>
        <v>2037</v>
      </c>
      <c r="E114" s="4">
        <f t="shared" si="13"/>
        <v>1.8968743247117836</v>
      </c>
      <c r="F114" s="4">
        <f t="shared" si="14"/>
        <v>0.33331127545953398</v>
      </c>
      <c r="G114" s="4">
        <f t="shared" si="15"/>
        <v>0.34403109498345008</v>
      </c>
      <c r="H114" s="4">
        <f t="shared" si="16"/>
        <v>0.32265762955701593</v>
      </c>
      <c r="I114" s="4">
        <f t="shared" si="17"/>
        <v>1.1087590442303596</v>
      </c>
      <c r="K114" s="4">
        <f t="shared" si="18"/>
        <v>1.8968743247117836</v>
      </c>
      <c r="L114" s="4">
        <f t="shared" si="19"/>
        <v>0.3094222153391758</v>
      </c>
      <c r="M114" s="4">
        <f t="shared" si="20"/>
        <v>0.33875661427979381</v>
      </c>
      <c r="N114" s="4">
        <f t="shared" si="21"/>
        <v>0.35182117038103039</v>
      </c>
      <c r="O114" s="4">
        <f t="shared" si="22"/>
        <v>1.1915951134097937</v>
      </c>
    </row>
    <row r="115" spans="2:15">
      <c r="B115" s="4">
        <f t="shared" si="23"/>
        <v>1</v>
      </c>
      <c r="C115" s="4">
        <f t="shared" si="24"/>
        <v>32</v>
      </c>
      <c r="D115" s="4">
        <f>D114+1</f>
        <v>2038</v>
      </c>
      <c r="E115" s="4">
        <f t="shared" si="13"/>
        <v>1.9394964876996652</v>
      </c>
      <c r="F115" s="4">
        <f t="shared" si="14"/>
        <v>0.32878223413103491</v>
      </c>
      <c r="G115" s="4">
        <f t="shared" si="15"/>
        <v>0.34508221526335214</v>
      </c>
      <c r="H115" s="4">
        <f t="shared" si="16"/>
        <v>0.32613555060561294</v>
      </c>
      <c r="I115" s="4">
        <f t="shared" si="17"/>
        <v>1.1172333150137739</v>
      </c>
      <c r="K115" s="4">
        <f t="shared" si="18"/>
        <v>1.9394964876996652</v>
      </c>
      <c r="L115" s="4">
        <f t="shared" si="19"/>
        <v>0.30419327194154433</v>
      </c>
      <c r="M115" s="4">
        <f t="shared" si="20"/>
        <v>0.33983173774282294</v>
      </c>
      <c r="N115" s="4">
        <f t="shared" si="21"/>
        <v>0.35597499031563273</v>
      </c>
      <c r="O115" s="4">
        <f t="shared" si="22"/>
        <v>1.2036182995521798</v>
      </c>
    </row>
    <row r="116" spans="2:15">
      <c r="B116" s="4">
        <f t="shared" si="23"/>
        <v>1</v>
      </c>
      <c r="C116" s="4">
        <f t="shared" si="24"/>
        <v>33</v>
      </c>
      <c r="D116" s="4">
        <f>D115+1</f>
        <v>2039</v>
      </c>
      <c r="E116" s="4">
        <f t="shared" si="13"/>
        <v>1.9837517482993714</v>
      </c>
      <c r="F116" s="4">
        <f t="shared" si="14"/>
        <v>0.32420683052261356</v>
      </c>
      <c r="G116" s="4">
        <f t="shared" si="15"/>
        <v>0.34613834365285107</v>
      </c>
      <c r="H116" s="4">
        <f t="shared" si="16"/>
        <v>0.32965482582453537</v>
      </c>
      <c r="I116" s="4">
        <f t="shared" si="17"/>
        <v>1.1257056648090449</v>
      </c>
      <c r="K116" s="4">
        <f t="shared" si="18"/>
        <v>1.9837517482993714</v>
      </c>
      <c r="L116" s="4">
        <f t="shared" si="19"/>
        <v>0.2989745968296722</v>
      </c>
      <c r="M116" s="4">
        <f t="shared" si="20"/>
        <v>0.34092682771261551</v>
      </c>
      <c r="N116" s="4">
        <f t="shared" si="21"/>
        <v>0.36009857545771229</v>
      </c>
      <c r="O116" s="4">
        <f t="shared" si="22"/>
        <v>1.2159498550535719</v>
      </c>
    </row>
    <row r="117" spans="2:15">
      <c r="B117" s="4">
        <f t="shared" si="23"/>
        <v>1</v>
      </c>
      <c r="C117" s="4">
        <f t="shared" si="24"/>
        <v>34</v>
      </c>
      <c r="D117" s="4">
        <f>D116+1</f>
        <v>2040</v>
      </c>
      <c r="E117" s="4">
        <f t="shared" si="13"/>
        <v>2.0283473091612896</v>
      </c>
      <c r="F117" s="4">
        <f t="shared" si="14"/>
        <v>0.31984321123193693</v>
      </c>
      <c r="G117" s="4">
        <f t="shared" si="15"/>
        <v>0.34722920045983297</v>
      </c>
      <c r="H117" s="4">
        <f t="shared" si="16"/>
        <v>0.3329275883082301</v>
      </c>
      <c r="I117" s="4">
        <f t="shared" si="17"/>
        <v>1.1350694398960164</v>
      </c>
      <c r="K117" s="4">
        <f t="shared" si="18"/>
        <v>2.0283473091612896</v>
      </c>
      <c r="L117" s="4">
        <f t="shared" si="19"/>
        <v>0.29391984209217947</v>
      </c>
      <c r="M117" s="4">
        <f t="shared" si="20"/>
        <v>0.34200935076024358</v>
      </c>
      <c r="N117" s="4">
        <f t="shared" si="21"/>
        <v>0.36407080714757695</v>
      </c>
      <c r="O117" s="4">
        <f t="shared" si="22"/>
        <v>1.2282246048057359</v>
      </c>
    </row>
    <row r="118" spans="2:15">
      <c r="B118" s="4">
        <f t="shared" si="23"/>
        <v>2</v>
      </c>
      <c r="C118" s="4">
        <f t="shared" si="24"/>
        <v>1</v>
      </c>
      <c r="D118" s="4">
        <v>2007</v>
      </c>
      <c r="E118" s="4">
        <f t="shared" si="13"/>
        <v>1</v>
      </c>
      <c r="F118" s="4">
        <f t="shared" si="14"/>
        <v>0.50003199863472492</v>
      </c>
      <c r="G118" s="4">
        <f t="shared" si="15"/>
        <v>0.30001919918083497</v>
      </c>
      <c r="H118" s="4">
        <f t="shared" si="16"/>
        <v>0.19994880218444011</v>
      </c>
      <c r="I118" s="4">
        <f t="shared" si="17"/>
        <v>1</v>
      </c>
      <c r="K118" s="4">
        <f t="shared" si="18"/>
        <v>1</v>
      </c>
      <c r="L118" s="4">
        <f t="shared" si="19"/>
        <v>0.50560000000000005</v>
      </c>
      <c r="M118" s="4">
        <f t="shared" si="20"/>
        <v>0.30919999999999997</v>
      </c>
      <c r="N118" s="4">
        <f t="shared" si="21"/>
        <v>0.18519999999999998</v>
      </c>
      <c r="O118" s="4">
        <f t="shared" si="22"/>
        <v>0.89229999999999998</v>
      </c>
    </row>
    <row r="119" spans="2:15">
      <c r="B119" s="4">
        <f t="shared" si="23"/>
        <v>2</v>
      </c>
      <c r="C119" s="4">
        <f t="shared" si="24"/>
        <v>2</v>
      </c>
      <c r="D119" s="4">
        <f>D118+1</f>
        <v>2008</v>
      </c>
      <c r="E119" s="4">
        <f t="shared" si="13"/>
        <v>1.0234673413076383</v>
      </c>
      <c r="F119" s="4">
        <f t="shared" si="14"/>
        <v>0.49083032025982193</v>
      </c>
      <c r="G119" s="4">
        <f t="shared" si="15"/>
        <v>0.30251431961099978</v>
      </c>
      <c r="H119" s="4">
        <f t="shared" si="16"/>
        <v>0.20665536012917834</v>
      </c>
      <c r="I119" s="4">
        <f t="shared" si="17"/>
        <v>0.99317536763412773</v>
      </c>
      <c r="K119" s="4">
        <f t="shared" si="18"/>
        <v>1.0234673413076383</v>
      </c>
      <c r="L119" s="4">
        <f t="shared" si="19"/>
        <v>0.4966841666745907</v>
      </c>
      <c r="M119" s="4">
        <f t="shared" si="20"/>
        <v>0.31022445914327118</v>
      </c>
      <c r="N119" s="4">
        <f t="shared" si="21"/>
        <v>0.19309137418213812</v>
      </c>
      <c r="O119" s="4">
        <f t="shared" si="22"/>
        <v>0.90170052221010699</v>
      </c>
    </row>
    <row r="120" spans="2:15">
      <c r="B120" s="4">
        <f t="shared" si="23"/>
        <v>2</v>
      </c>
      <c r="C120" s="4">
        <f t="shared" si="24"/>
        <v>3</v>
      </c>
      <c r="D120" s="4">
        <f t="shared" ref="D120:D147" si="26">D119+1</f>
        <v>2009</v>
      </c>
      <c r="E120" s="4">
        <f t="shared" si="13"/>
        <v>1.0469278710910062</v>
      </c>
      <c r="F120" s="4">
        <f t="shared" si="14"/>
        <v>0.48076691823611933</v>
      </c>
      <c r="G120" s="4">
        <f t="shared" si="15"/>
        <v>0.30505285482356365</v>
      </c>
      <c r="H120" s="4">
        <f t="shared" si="16"/>
        <v>0.21418022694031696</v>
      </c>
      <c r="I120" s="4">
        <f t="shared" si="17"/>
        <v>0.98024641452983563</v>
      </c>
      <c r="K120" s="4">
        <f t="shared" si="18"/>
        <v>1.0469278710910062</v>
      </c>
      <c r="L120" s="4">
        <f t="shared" si="19"/>
        <v>0.48812484024691399</v>
      </c>
      <c r="M120" s="4">
        <f t="shared" si="20"/>
        <v>0.31122868334892545</v>
      </c>
      <c r="N120" s="4">
        <f t="shared" si="21"/>
        <v>0.2006464764041605</v>
      </c>
      <c r="O120" s="4">
        <f t="shared" si="22"/>
        <v>0.91098093026716309</v>
      </c>
    </row>
    <row r="121" spans="2:15">
      <c r="B121" s="4">
        <f t="shared" si="23"/>
        <v>2</v>
      </c>
      <c r="C121" s="4">
        <f t="shared" si="24"/>
        <v>4</v>
      </c>
      <c r="D121" s="4">
        <f t="shared" si="26"/>
        <v>2010</v>
      </c>
      <c r="E121" s="4">
        <f t="shared" si="13"/>
        <v>1.0709857782008951</v>
      </c>
      <c r="F121" s="4">
        <f t="shared" si="14"/>
        <v>0.47240628873205703</v>
      </c>
      <c r="G121" s="4">
        <f t="shared" si="15"/>
        <v>0.30755553292202042</v>
      </c>
      <c r="H121" s="4">
        <f t="shared" si="16"/>
        <v>0.22003817834592254</v>
      </c>
      <c r="I121" s="4">
        <f t="shared" si="17"/>
        <v>0.97402808435759947</v>
      </c>
      <c r="K121" s="4">
        <f t="shared" si="18"/>
        <v>1.0709857782008951</v>
      </c>
      <c r="L121" s="4">
        <f t="shared" si="19"/>
        <v>0.47969253991905181</v>
      </c>
      <c r="M121" s="4">
        <f t="shared" si="20"/>
        <v>0.31223863623459353</v>
      </c>
      <c r="N121" s="4">
        <f t="shared" si="21"/>
        <v>0.20806882384635467</v>
      </c>
      <c r="O121" s="4">
        <f t="shared" si="22"/>
        <v>0.92037999480909216</v>
      </c>
    </row>
    <row r="122" spans="2:15">
      <c r="B122" s="4">
        <f t="shared" si="23"/>
        <v>2</v>
      </c>
      <c r="C122" s="4">
        <f t="shared" si="24"/>
        <v>5</v>
      </c>
      <c r="D122" s="4">
        <f t="shared" si="26"/>
        <v>2011</v>
      </c>
      <c r="E122" s="4">
        <f t="shared" si="13"/>
        <v>1.0952641014540259</v>
      </c>
      <c r="F122" s="4">
        <f t="shared" si="14"/>
        <v>0.46458251203599427</v>
      </c>
      <c r="G122" s="4">
        <f t="shared" si="15"/>
        <v>0.30979609837102495</v>
      </c>
      <c r="H122" s="4">
        <f t="shared" si="16"/>
        <v>0.22562138959298073</v>
      </c>
      <c r="I122" s="4">
        <f t="shared" si="17"/>
        <v>0.96890920926806068</v>
      </c>
      <c r="K122" s="4">
        <f t="shared" si="18"/>
        <v>1.0952641014540259</v>
      </c>
      <c r="L122" s="4">
        <f t="shared" si="19"/>
        <v>0.47151564218967418</v>
      </c>
      <c r="M122" s="4">
        <f t="shared" si="20"/>
        <v>0.31323831113092965</v>
      </c>
      <c r="N122" s="4">
        <f t="shared" si="21"/>
        <v>0.21524604667939612</v>
      </c>
      <c r="O122" s="4">
        <f t="shared" si="22"/>
        <v>0.92974855263158807</v>
      </c>
    </row>
    <row r="123" spans="2:15">
      <c r="B123" s="4">
        <f t="shared" si="23"/>
        <v>2</v>
      </c>
      <c r="C123" s="4">
        <f t="shared" si="24"/>
        <v>6</v>
      </c>
      <c r="D123" s="4">
        <f t="shared" si="26"/>
        <v>2012</v>
      </c>
      <c r="E123" s="4">
        <f t="shared" si="13"/>
        <v>1.119550989571485</v>
      </c>
      <c r="F123" s="4">
        <f t="shared" si="14"/>
        <v>0.45775250263144918</v>
      </c>
      <c r="G123" s="4">
        <f t="shared" si="15"/>
        <v>0.31198258328754863</v>
      </c>
      <c r="H123" s="4">
        <f t="shared" si="16"/>
        <v>0.23026491408100219</v>
      </c>
      <c r="I123" s="4">
        <f t="shared" si="17"/>
        <v>0.96730746761486508</v>
      </c>
      <c r="K123" s="4">
        <f t="shared" si="18"/>
        <v>1.119550989571485</v>
      </c>
      <c r="L123" s="4">
        <f t="shared" si="19"/>
        <v>0.46365015651557001</v>
      </c>
      <c r="M123" s="4">
        <f t="shared" si="20"/>
        <v>0.31421950655143954</v>
      </c>
      <c r="N123" s="4">
        <f t="shared" si="21"/>
        <v>0.2221303369329905</v>
      </c>
      <c r="O123" s="4">
        <f t="shared" si="22"/>
        <v>0.93900718882650769</v>
      </c>
    </row>
    <row r="124" spans="2:15">
      <c r="B124" s="4">
        <f t="shared" si="23"/>
        <v>2</v>
      </c>
      <c r="C124" s="4">
        <f t="shared" si="24"/>
        <v>7</v>
      </c>
      <c r="D124" s="4">
        <f t="shared" si="26"/>
        <v>2013</v>
      </c>
      <c r="E124" s="4">
        <f t="shared" si="13"/>
        <v>1.1433325530369507</v>
      </c>
      <c r="F124" s="4">
        <f t="shared" si="14"/>
        <v>0.45223087708767573</v>
      </c>
      <c r="G124" s="4">
        <f t="shared" si="15"/>
        <v>0.31394334595986323</v>
      </c>
      <c r="H124" s="4">
        <f t="shared" si="16"/>
        <v>0.23382577695246104</v>
      </c>
      <c r="I124" s="4">
        <f t="shared" si="17"/>
        <v>0.96964439716969753</v>
      </c>
      <c r="K124" s="4">
        <f t="shared" si="18"/>
        <v>1.1433325530369507</v>
      </c>
      <c r="L124" s="4">
        <f t="shared" si="19"/>
        <v>0.4562351111991908</v>
      </c>
      <c r="M124" s="4">
        <f t="shared" si="20"/>
        <v>0.31516275888953049</v>
      </c>
      <c r="N124" s="4">
        <f t="shared" si="21"/>
        <v>0.22860212991127871</v>
      </c>
      <c r="O124" s="4">
        <f t="shared" si="22"/>
        <v>0.94796708818099029</v>
      </c>
    </row>
    <row r="125" spans="2:15">
      <c r="B125" s="4">
        <f t="shared" si="23"/>
        <v>2</v>
      </c>
      <c r="C125" s="4">
        <f t="shared" si="24"/>
        <v>8</v>
      </c>
      <c r="D125" s="4">
        <f t="shared" si="26"/>
        <v>2014</v>
      </c>
      <c r="E125" s="4">
        <f t="shared" si="13"/>
        <v>1.2053549088934326</v>
      </c>
      <c r="F125" s="4">
        <f t="shared" si="14"/>
        <v>0.43776711067032625</v>
      </c>
      <c r="G125" s="4">
        <f t="shared" si="15"/>
        <v>0.31572680997037722</v>
      </c>
      <c r="H125" s="4">
        <f t="shared" si="16"/>
        <v>0.24650607935929653</v>
      </c>
      <c r="I125" s="4">
        <f t="shared" si="17"/>
        <v>0.9706415735585241</v>
      </c>
      <c r="K125" s="4">
        <f t="shared" si="18"/>
        <v>1.2053549088934326</v>
      </c>
      <c r="L125" s="4">
        <f t="shared" si="19"/>
        <v>0.43811881625766103</v>
      </c>
      <c r="M125" s="4">
        <f t="shared" si="20"/>
        <v>0.31754587522160299</v>
      </c>
      <c r="N125" s="4">
        <f t="shared" si="21"/>
        <v>0.24433530852073598</v>
      </c>
      <c r="O125" s="4">
        <f t="shared" si="22"/>
        <v>0.97086450457148044</v>
      </c>
    </row>
    <row r="126" spans="2:15">
      <c r="B126" s="4">
        <f t="shared" si="23"/>
        <v>2</v>
      </c>
      <c r="C126" s="4">
        <f t="shared" si="24"/>
        <v>9</v>
      </c>
      <c r="D126" s="4">
        <f t="shared" si="26"/>
        <v>2015</v>
      </c>
      <c r="E126" s="4">
        <f t="shared" si="13"/>
        <v>1.272409829400974</v>
      </c>
      <c r="F126" s="4">
        <f t="shared" si="14"/>
        <v>0.42007324814905178</v>
      </c>
      <c r="G126" s="4">
        <f t="shared" si="15"/>
        <v>0.31953793167840133</v>
      </c>
      <c r="H126" s="4">
        <f t="shared" si="16"/>
        <v>0.26038882017254689</v>
      </c>
      <c r="I126" s="4">
        <f t="shared" si="17"/>
        <v>0.97846448252729123</v>
      </c>
      <c r="K126" s="4">
        <f t="shared" si="18"/>
        <v>1.272409829400974</v>
      </c>
      <c r="L126" s="4">
        <f t="shared" si="19"/>
        <v>0.42029879460560099</v>
      </c>
      <c r="M126" s="4">
        <f t="shared" si="20"/>
        <v>0.32000686680263468</v>
      </c>
      <c r="N126" s="4">
        <f t="shared" si="21"/>
        <v>0.25969433859176438</v>
      </c>
      <c r="O126" s="4">
        <f t="shared" si="22"/>
        <v>0.99490446181724712</v>
      </c>
    </row>
    <row r="127" spans="2:15">
      <c r="B127" s="4">
        <f t="shared" si="23"/>
        <v>2</v>
      </c>
      <c r="C127" s="4">
        <f t="shared" si="24"/>
        <v>10</v>
      </c>
      <c r="D127" s="4">
        <f t="shared" si="26"/>
        <v>2016</v>
      </c>
      <c r="E127" s="4">
        <f t="shared" si="13"/>
        <v>1.3458323118415487</v>
      </c>
      <c r="F127" s="4">
        <f t="shared" si="14"/>
        <v>0.40214710066376314</v>
      </c>
      <c r="G127" s="4">
        <f t="shared" si="15"/>
        <v>0.32346367150975885</v>
      </c>
      <c r="H127" s="4">
        <f t="shared" si="16"/>
        <v>0.27438922782647801</v>
      </c>
      <c r="I127" s="4">
        <f t="shared" si="17"/>
        <v>0.98861813446662217</v>
      </c>
      <c r="K127" s="4">
        <f t="shared" si="18"/>
        <v>1.3458323118415487</v>
      </c>
      <c r="L127" s="4">
        <f t="shared" si="19"/>
        <v>0.4025974370864101</v>
      </c>
      <c r="M127" s="4">
        <f t="shared" si="20"/>
        <v>0.32257714576456753</v>
      </c>
      <c r="N127" s="4">
        <f t="shared" si="21"/>
        <v>0.27482541714902242</v>
      </c>
      <c r="O127" s="4">
        <f t="shared" si="22"/>
        <v>1.0204435962833081</v>
      </c>
    </row>
    <row r="128" spans="2:15">
      <c r="B128" s="4">
        <f t="shared" si="23"/>
        <v>2</v>
      </c>
      <c r="C128" s="4">
        <f t="shared" si="24"/>
        <v>11</v>
      </c>
      <c r="D128" s="4">
        <f t="shared" si="26"/>
        <v>2017</v>
      </c>
      <c r="E128" s="4">
        <f t="shared" si="13"/>
        <v>1.424911989535941</v>
      </c>
      <c r="F128" s="4">
        <f t="shared" si="14"/>
        <v>0.38443283689319774</v>
      </c>
      <c r="G128" s="4">
        <f t="shared" si="15"/>
        <v>0.32730497508356687</v>
      </c>
      <c r="H128" s="4">
        <f t="shared" si="16"/>
        <v>0.28826218802323539</v>
      </c>
      <c r="I128" s="4">
        <f t="shared" si="17"/>
        <v>1.0014189468085968</v>
      </c>
      <c r="K128" s="4">
        <f t="shared" si="18"/>
        <v>1.424911989535941</v>
      </c>
      <c r="L128" s="4">
        <f t="shared" si="19"/>
        <v>0.3853466945566843</v>
      </c>
      <c r="M128" s="4">
        <f t="shared" si="20"/>
        <v>0.32521431958071723</v>
      </c>
      <c r="N128" s="4">
        <f t="shared" si="21"/>
        <v>0.28943898586259842</v>
      </c>
      <c r="O128" s="4">
        <f t="shared" si="22"/>
        <v>1.0471100545545025</v>
      </c>
    </row>
    <row r="129" spans="2:15">
      <c r="B129" s="4">
        <f t="shared" si="23"/>
        <v>2</v>
      </c>
      <c r="C129" s="4">
        <f t="shared" si="24"/>
        <v>12</v>
      </c>
      <c r="D129" s="4">
        <f t="shared" si="26"/>
        <v>2018</v>
      </c>
      <c r="E129" s="4">
        <f t="shared" si="13"/>
        <v>1.5100825213909512</v>
      </c>
      <c r="F129" s="4">
        <f t="shared" si="14"/>
        <v>0.36782496675472226</v>
      </c>
      <c r="G129" s="4">
        <f t="shared" si="15"/>
        <v>0.3305925896539465</v>
      </c>
      <c r="H129" s="4">
        <f t="shared" si="16"/>
        <v>0.3015824435913313</v>
      </c>
      <c r="I129" s="4">
        <f t="shared" si="17"/>
        <v>1.017884836039886</v>
      </c>
      <c r="K129" s="4">
        <f t="shared" si="18"/>
        <v>1.5100825213909512</v>
      </c>
      <c r="L129" s="4">
        <f t="shared" si="19"/>
        <v>0.36856453503763692</v>
      </c>
      <c r="M129" s="4">
        <f t="shared" si="20"/>
        <v>0.3279177929719882</v>
      </c>
      <c r="N129" s="4">
        <f t="shared" si="21"/>
        <v>0.30351767199037483</v>
      </c>
      <c r="O129" s="4">
        <f t="shared" si="22"/>
        <v>1.0749379621970798</v>
      </c>
    </row>
    <row r="130" spans="2:15">
      <c r="B130" s="4">
        <f t="shared" si="23"/>
        <v>2</v>
      </c>
      <c r="C130" s="4">
        <f t="shared" si="24"/>
        <v>13</v>
      </c>
      <c r="D130" s="4">
        <f t="shared" si="26"/>
        <v>2019</v>
      </c>
      <c r="E130" s="4">
        <f t="shared" si="13"/>
        <v>1.6010025470615696</v>
      </c>
      <c r="F130" s="4">
        <f t="shared" si="14"/>
        <v>0.35179412764858553</v>
      </c>
      <c r="G130" s="4">
        <f t="shared" si="15"/>
        <v>0.33381006149245912</v>
      </c>
      <c r="H130" s="4">
        <f t="shared" si="16"/>
        <v>0.31439581085895535</v>
      </c>
      <c r="I130" s="4">
        <f t="shared" si="17"/>
        <v>1.0372566246760719</v>
      </c>
      <c r="K130" s="4">
        <f t="shared" si="18"/>
        <v>1.6010025470615696</v>
      </c>
      <c r="L130" s="4">
        <f t="shared" si="19"/>
        <v>0.35240201560951501</v>
      </c>
      <c r="M130" s="4">
        <f t="shared" si="20"/>
        <v>0.33066314166367516</v>
      </c>
      <c r="N130" s="4">
        <f t="shared" si="21"/>
        <v>0.31693484272680983</v>
      </c>
      <c r="O130" s="4">
        <f t="shared" si="22"/>
        <v>1.1037105882772706</v>
      </c>
    </row>
    <row r="131" spans="2:15">
      <c r="B131" s="4">
        <f t="shared" si="23"/>
        <v>2</v>
      </c>
      <c r="C131" s="4">
        <f t="shared" si="24"/>
        <v>14</v>
      </c>
      <c r="D131" s="4">
        <f t="shared" si="26"/>
        <v>2020</v>
      </c>
      <c r="E131" s="4">
        <f t="shared" si="13"/>
        <v>1.6918141501958073</v>
      </c>
      <c r="F131" s="4">
        <f t="shared" si="14"/>
        <v>0.3372768582290081</v>
      </c>
      <c r="G131" s="4">
        <f t="shared" si="15"/>
        <v>0.33690502918242504</v>
      </c>
      <c r="H131" s="4">
        <f t="shared" si="16"/>
        <v>0.32581811258856685</v>
      </c>
      <c r="I131" s="4">
        <f t="shared" si="17"/>
        <v>1.0580738772863614</v>
      </c>
      <c r="K131" s="4">
        <f t="shared" si="18"/>
        <v>1.6918141501958073</v>
      </c>
      <c r="L131" s="4">
        <f t="shared" si="19"/>
        <v>0.33780072737729533</v>
      </c>
      <c r="M131" s="4">
        <f t="shared" si="20"/>
        <v>0.33327487451195476</v>
      </c>
      <c r="N131" s="4">
        <f t="shared" si="21"/>
        <v>0.32892439811074986</v>
      </c>
      <c r="O131" s="4">
        <f t="shared" si="22"/>
        <v>1.1315679068125613</v>
      </c>
    </row>
    <row r="132" spans="2:15">
      <c r="B132" s="4">
        <f t="shared" si="23"/>
        <v>2</v>
      </c>
      <c r="C132" s="4">
        <f t="shared" si="24"/>
        <v>15</v>
      </c>
      <c r="D132" s="4">
        <f t="shared" si="26"/>
        <v>2021</v>
      </c>
      <c r="E132" s="4">
        <f t="shared" si="13"/>
        <v>1.7882403067577222</v>
      </c>
      <c r="F132" s="4">
        <f t="shared" si="14"/>
        <v>0.32366902217868021</v>
      </c>
      <c r="G132" s="4">
        <f t="shared" si="15"/>
        <v>0.33968900375148781</v>
      </c>
      <c r="H132" s="4">
        <f t="shared" si="16"/>
        <v>0.33664197406983198</v>
      </c>
      <c r="I132" s="4">
        <f t="shared" si="17"/>
        <v>1.0821557555543873</v>
      </c>
      <c r="K132" s="4">
        <f t="shared" si="18"/>
        <v>1.7882403067577222</v>
      </c>
      <c r="L132" s="4">
        <f t="shared" si="19"/>
        <v>0.32374003968241538</v>
      </c>
      <c r="M132" s="4">
        <f t="shared" si="20"/>
        <v>0.33591965506374727</v>
      </c>
      <c r="N132" s="4">
        <f t="shared" si="21"/>
        <v>0.34034030525383735</v>
      </c>
      <c r="O132" s="4">
        <f t="shared" si="22"/>
        <v>1.1602642350427885</v>
      </c>
    </row>
    <row r="133" spans="2:15">
      <c r="B133" s="4">
        <f t="shared" si="23"/>
        <v>2</v>
      </c>
      <c r="C133" s="4">
        <f t="shared" si="24"/>
        <v>16</v>
      </c>
      <c r="D133" s="4">
        <f t="shared" si="26"/>
        <v>2022</v>
      </c>
      <c r="E133" s="4">
        <f t="shared" si="13"/>
        <v>1.8911281815189578</v>
      </c>
      <c r="F133" s="4">
        <f t="shared" si="14"/>
        <v>0.31059023195239255</v>
      </c>
      <c r="G133" s="4">
        <f t="shared" si="15"/>
        <v>0.34232543581396829</v>
      </c>
      <c r="H133" s="4">
        <f t="shared" si="16"/>
        <v>0.34708433223363916</v>
      </c>
      <c r="I133" s="4">
        <f t="shared" si="17"/>
        <v>1.1088292069958723</v>
      </c>
      <c r="K133" s="4">
        <f t="shared" si="18"/>
        <v>1.8911281815189578</v>
      </c>
      <c r="L133" s="4">
        <f t="shared" si="19"/>
        <v>0.3101430717496646</v>
      </c>
      <c r="M133" s="4">
        <f t="shared" si="20"/>
        <v>0.33861008990272817</v>
      </c>
      <c r="N133" s="4">
        <f t="shared" si="21"/>
        <v>0.35124683834760723</v>
      </c>
      <c r="O133" s="4">
        <f t="shared" si="22"/>
        <v>1.1899629116354749</v>
      </c>
    </row>
    <row r="134" spans="2:15">
      <c r="B134" s="4">
        <f t="shared" si="23"/>
        <v>2</v>
      </c>
      <c r="C134" s="4">
        <f t="shared" si="24"/>
        <v>17</v>
      </c>
      <c r="D134" s="4">
        <f t="shared" si="26"/>
        <v>2023</v>
      </c>
      <c r="E134" s="4">
        <f t="shared" si="13"/>
        <v>1.9989049192679367</v>
      </c>
      <c r="F134" s="4">
        <f t="shared" si="14"/>
        <v>0.29817726117062249</v>
      </c>
      <c r="G134" s="4">
        <f t="shared" si="15"/>
        <v>0.34488164458399656</v>
      </c>
      <c r="H134" s="4">
        <f t="shared" si="16"/>
        <v>0.35694109424538095</v>
      </c>
      <c r="I134" s="4">
        <f t="shared" si="17"/>
        <v>1.1386987822841586</v>
      </c>
      <c r="K134" s="4">
        <f t="shared" si="18"/>
        <v>1.9989049192679367</v>
      </c>
      <c r="L134" s="4">
        <f t="shared" si="19"/>
        <v>0.29723469149857257</v>
      </c>
      <c r="M134" s="4">
        <f t="shared" si="20"/>
        <v>0.3412969788628637</v>
      </c>
      <c r="N134" s="4">
        <f t="shared" si="21"/>
        <v>0.36146832963856368</v>
      </c>
      <c r="O134" s="4">
        <f t="shared" si="22"/>
        <v>1.2201375150094596</v>
      </c>
    </row>
    <row r="135" spans="2:15">
      <c r="B135" s="4">
        <f t="shared" si="23"/>
        <v>2</v>
      </c>
      <c r="C135" s="4">
        <f t="shared" si="24"/>
        <v>18</v>
      </c>
      <c r="D135" s="4">
        <f t="shared" si="26"/>
        <v>2024</v>
      </c>
      <c r="E135" s="4">
        <f t="shared" si="13"/>
        <v>2.1013668115515203</v>
      </c>
      <c r="F135" s="4">
        <f t="shared" si="14"/>
        <v>0.28757991483264128</v>
      </c>
      <c r="G135" s="4">
        <f t="shared" si="15"/>
        <v>0.34730549395015065</v>
      </c>
      <c r="H135" s="4">
        <f t="shared" si="16"/>
        <v>0.36511459121720813</v>
      </c>
      <c r="I135" s="4">
        <f t="shared" si="17"/>
        <v>1.1706653479333622</v>
      </c>
      <c r="K135" s="4">
        <f t="shared" si="18"/>
        <v>2.1013668115515203</v>
      </c>
      <c r="L135" s="4">
        <f t="shared" si="19"/>
        <v>0.28605407036361802</v>
      </c>
      <c r="M135" s="4">
        <f t="shared" si="20"/>
        <v>0.3437385587853995</v>
      </c>
      <c r="N135" s="4">
        <f t="shared" si="21"/>
        <v>0.37020737085098243</v>
      </c>
      <c r="O135" s="4">
        <f t="shared" si="22"/>
        <v>1.2480076208268016</v>
      </c>
    </row>
    <row r="136" spans="2:15">
      <c r="B136" s="4">
        <f t="shared" si="23"/>
        <v>2</v>
      </c>
      <c r="C136" s="4">
        <f t="shared" si="24"/>
        <v>19</v>
      </c>
      <c r="D136" s="4">
        <f t="shared" si="26"/>
        <v>2025</v>
      </c>
      <c r="E136" s="4">
        <f t="shared" si="13"/>
        <v>2.211626679438397</v>
      </c>
      <c r="F136" s="4">
        <f t="shared" si="14"/>
        <v>0.27807476616084092</v>
      </c>
      <c r="G136" s="4">
        <f t="shared" si="15"/>
        <v>0.34933169562086097</v>
      </c>
      <c r="H136" s="4">
        <f t="shared" si="16"/>
        <v>0.3725935382182981</v>
      </c>
      <c r="I136" s="4">
        <f t="shared" si="17"/>
        <v>1.2049419188889825</v>
      </c>
      <c r="K136" s="4">
        <f t="shared" si="18"/>
        <v>2.211626679438397</v>
      </c>
      <c r="L136" s="4">
        <f t="shared" si="19"/>
        <v>0.27505091820557098</v>
      </c>
      <c r="M136" s="4">
        <f t="shared" si="20"/>
        <v>0.34625447171720841</v>
      </c>
      <c r="N136" s="4">
        <f t="shared" si="21"/>
        <v>0.37869461007722066</v>
      </c>
      <c r="O136" s="4">
        <f t="shared" si="22"/>
        <v>1.277178777546786</v>
      </c>
    </row>
    <row r="137" spans="2:15">
      <c r="B137" s="4">
        <f t="shared" si="23"/>
        <v>2</v>
      </c>
      <c r="C137" s="4">
        <f t="shared" si="24"/>
        <v>20</v>
      </c>
      <c r="D137" s="4">
        <f t="shared" si="26"/>
        <v>2026</v>
      </c>
      <c r="E137" s="4">
        <f t="shared" si="13"/>
        <v>2.3286207445277403</v>
      </c>
      <c r="F137" s="4">
        <f t="shared" si="14"/>
        <v>0.26865696972929848</v>
      </c>
      <c r="G137" s="4">
        <f t="shared" si="15"/>
        <v>0.35124745949483421</v>
      </c>
      <c r="H137" s="4">
        <f t="shared" si="16"/>
        <v>0.38009557077586736</v>
      </c>
      <c r="I137" s="4">
        <f t="shared" si="17"/>
        <v>1.240345996125723</v>
      </c>
      <c r="K137" s="4">
        <f t="shared" si="18"/>
        <v>2.3286207445277403</v>
      </c>
      <c r="L137" s="4">
        <f t="shared" si="19"/>
        <v>0.26438835017126938</v>
      </c>
      <c r="M137" s="4">
        <f t="shared" si="20"/>
        <v>0.3488090695590505</v>
      </c>
      <c r="N137" s="4">
        <f t="shared" si="21"/>
        <v>0.38680258026968012</v>
      </c>
      <c r="O137" s="4">
        <f t="shared" si="22"/>
        <v>1.307272464772969</v>
      </c>
    </row>
    <row r="138" spans="2:15">
      <c r="B138" s="4">
        <f t="shared" si="23"/>
        <v>2</v>
      </c>
      <c r="C138" s="4">
        <f t="shared" si="24"/>
        <v>21</v>
      </c>
      <c r="D138" s="4">
        <f t="shared" si="26"/>
        <v>2027</v>
      </c>
      <c r="E138" s="4">
        <f t="shared" si="13"/>
        <v>2.4549461024317147</v>
      </c>
      <c r="F138" s="4">
        <f t="shared" si="14"/>
        <v>0.25930037781021736</v>
      </c>
      <c r="G138" s="4">
        <f t="shared" si="15"/>
        <v>0.35311752860431345</v>
      </c>
      <c r="H138" s="4">
        <f t="shared" si="16"/>
        <v>0.38758209358546913</v>
      </c>
      <c r="I138" s="4">
        <f t="shared" si="17"/>
        <v>1.2769817451999357</v>
      </c>
      <c r="K138" s="4">
        <f t="shared" si="18"/>
        <v>2.4549461024317147</v>
      </c>
      <c r="L138" s="4">
        <f t="shared" si="19"/>
        <v>0.25388958201234868</v>
      </c>
      <c r="M138" s="4">
        <f t="shared" si="20"/>
        <v>0.35144669938737094</v>
      </c>
      <c r="N138" s="4">
        <f t="shared" si="21"/>
        <v>0.39466371860028038</v>
      </c>
      <c r="O138" s="4">
        <f t="shared" si="22"/>
        <v>1.3388497792261818</v>
      </c>
    </row>
    <row r="139" spans="2:15">
      <c r="B139" s="4">
        <f t="shared" si="23"/>
        <v>2</v>
      </c>
      <c r="C139" s="4">
        <f t="shared" si="24"/>
        <v>22</v>
      </c>
      <c r="D139" s="4">
        <f t="shared" si="26"/>
        <v>2028</v>
      </c>
      <c r="E139" s="4">
        <f t="shared" si="13"/>
        <v>2.5909035122261277</v>
      </c>
      <c r="F139" s="4">
        <f t="shared" si="14"/>
        <v>0.24964137635334743</v>
      </c>
      <c r="G139" s="4">
        <f t="shared" si="15"/>
        <v>0.35495680253345357</v>
      </c>
      <c r="H139" s="4">
        <f t="shared" si="16"/>
        <v>0.39540182111319905</v>
      </c>
      <c r="I139" s="4">
        <f t="shared" si="17"/>
        <v>1.3138087181268321</v>
      </c>
      <c r="K139" s="4">
        <f t="shared" si="18"/>
        <v>2.5909035122261277</v>
      </c>
      <c r="L139" s="4">
        <f t="shared" si="19"/>
        <v>0.24360711268336449</v>
      </c>
      <c r="M139" s="4">
        <f t="shared" si="20"/>
        <v>0.35415846939124829</v>
      </c>
      <c r="N139" s="4">
        <f t="shared" si="21"/>
        <v>0.40223441792538717</v>
      </c>
      <c r="O139" s="4">
        <f t="shared" si="22"/>
        <v>1.3718548503457044</v>
      </c>
    </row>
    <row r="140" spans="2:15">
      <c r="B140" s="4">
        <f t="shared" si="23"/>
        <v>2</v>
      </c>
      <c r="C140" s="4">
        <f t="shared" si="24"/>
        <v>23</v>
      </c>
      <c r="D140" s="4">
        <f t="shared" si="26"/>
        <v>2029</v>
      </c>
      <c r="E140" s="4">
        <f t="shared" si="13"/>
        <v>2.7236416416309974</v>
      </c>
      <c r="F140" s="4">
        <f t="shared" si="14"/>
        <v>0.24089416098442562</v>
      </c>
      <c r="G140" s="4">
        <f t="shared" si="15"/>
        <v>0.35682912737265426</v>
      </c>
      <c r="H140" s="4">
        <f t="shared" si="16"/>
        <v>0.40227671164292012</v>
      </c>
      <c r="I140" s="4">
        <f t="shared" si="17"/>
        <v>1.3491339181193711</v>
      </c>
      <c r="K140" s="4">
        <f t="shared" si="18"/>
        <v>2.7236416416309974</v>
      </c>
      <c r="L140" s="4">
        <f t="shared" si="19"/>
        <v>0.23444827504545232</v>
      </c>
      <c r="M140" s="4">
        <f t="shared" si="20"/>
        <v>0.35669076915421133</v>
      </c>
      <c r="N140" s="4">
        <f t="shared" si="21"/>
        <v>0.40886095580033638</v>
      </c>
      <c r="O140" s="4">
        <f t="shared" si="22"/>
        <v>1.4031743829019268</v>
      </c>
    </row>
    <row r="141" spans="2:15">
      <c r="B141" s="4">
        <f t="shared" si="23"/>
        <v>2</v>
      </c>
      <c r="C141" s="4">
        <f t="shared" si="24"/>
        <v>24</v>
      </c>
      <c r="D141" s="4">
        <f t="shared" si="26"/>
        <v>2030</v>
      </c>
      <c r="E141" s="4">
        <f t="shared" si="13"/>
        <v>2.8639542485494931</v>
      </c>
      <c r="F141" s="4">
        <f t="shared" si="14"/>
        <v>0.23262423403870691</v>
      </c>
      <c r="G141" s="4">
        <f t="shared" si="15"/>
        <v>0.35846406786674012</v>
      </c>
      <c r="H141" s="4">
        <f t="shared" si="16"/>
        <v>0.40891169809455297</v>
      </c>
      <c r="I141" s="4">
        <f t="shared" si="17"/>
        <v>1.3849420281608102</v>
      </c>
      <c r="K141" s="4">
        <f t="shared" si="18"/>
        <v>2.8639542485494931</v>
      </c>
      <c r="L141" s="4">
        <f t="shared" si="19"/>
        <v>0.22558700848041674</v>
      </c>
      <c r="M141" s="4">
        <f t="shared" si="20"/>
        <v>0.35925502187216934</v>
      </c>
      <c r="N141" s="4">
        <f t="shared" si="21"/>
        <v>0.41515796964741386</v>
      </c>
      <c r="O141" s="4">
        <f t="shared" si="22"/>
        <v>1.435384215337381</v>
      </c>
    </row>
    <row r="142" spans="2:15">
      <c r="B142" s="4">
        <f t="shared" si="23"/>
        <v>2</v>
      </c>
      <c r="C142" s="4">
        <f t="shared" si="24"/>
        <v>25</v>
      </c>
      <c r="D142" s="4">
        <f t="shared" si="26"/>
        <v>2031</v>
      </c>
      <c r="E142" s="4">
        <f t="shared" si="13"/>
        <v>3.013925797493676</v>
      </c>
      <c r="F142" s="4">
        <f t="shared" si="14"/>
        <v>0.22454185901059878</v>
      </c>
      <c r="G142" s="4">
        <f t="shared" si="15"/>
        <v>0.36002077082059725</v>
      </c>
      <c r="H142" s="4">
        <f t="shared" si="16"/>
        <v>0.415437370168804</v>
      </c>
      <c r="I142" s="4">
        <f t="shared" si="17"/>
        <v>1.4218275836472261</v>
      </c>
      <c r="K142" s="4">
        <f t="shared" si="18"/>
        <v>3.013925797493676</v>
      </c>
      <c r="L142" s="4">
        <f t="shared" si="19"/>
        <v>0.21692639299176253</v>
      </c>
      <c r="M142" s="4">
        <f t="shared" si="20"/>
        <v>0.36187933844505732</v>
      </c>
      <c r="N142" s="4">
        <f t="shared" si="21"/>
        <v>0.42119426856318015</v>
      </c>
      <c r="O142" s="4">
        <f t="shared" si="22"/>
        <v>1.4688687173371995</v>
      </c>
    </row>
    <row r="143" spans="2:15">
      <c r="B143" s="4">
        <f t="shared" si="23"/>
        <v>2</v>
      </c>
      <c r="C143" s="4">
        <f t="shared" si="24"/>
        <v>26</v>
      </c>
      <c r="D143" s="4">
        <f t="shared" si="26"/>
        <v>2032</v>
      </c>
      <c r="E143" s="4">
        <f t="shared" si="13"/>
        <v>3.1729510549664401</v>
      </c>
      <c r="F143" s="4">
        <f t="shared" si="14"/>
        <v>0.21669910556624253</v>
      </c>
      <c r="G143" s="4">
        <f t="shared" si="15"/>
        <v>0.36153325446258527</v>
      </c>
      <c r="H143" s="4">
        <f t="shared" si="16"/>
        <v>0.42176763997117223</v>
      </c>
      <c r="I143" s="4">
        <f t="shared" si="17"/>
        <v>1.460144989584337</v>
      </c>
      <c r="K143" s="4">
        <f t="shared" si="18"/>
        <v>3.1729510549664401</v>
      </c>
      <c r="L143" s="4">
        <f t="shared" si="19"/>
        <v>0.20853773792406385</v>
      </c>
      <c r="M143" s="4">
        <f t="shared" si="20"/>
        <v>0.36454249547572454</v>
      </c>
      <c r="N143" s="4">
        <f t="shared" si="21"/>
        <v>0.42691976660021164</v>
      </c>
      <c r="O143" s="4">
        <f t="shared" si="22"/>
        <v>1.5033913420530876</v>
      </c>
    </row>
    <row r="144" spans="2:15">
      <c r="B144" s="4">
        <f t="shared" si="23"/>
        <v>2</v>
      </c>
      <c r="C144" s="4">
        <f t="shared" si="24"/>
        <v>27</v>
      </c>
      <c r="D144" s="4">
        <f t="shared" si="26"/>
        <v>2033</v>
      </c>
      <c r="E144" s="4">
        <f t="shared" si="13"/>
        <v>3.3409542579611866</v>
      </c>
      <c r="F144" s="4">
        <f t="shared" si="14"/>
        <v>0.20913924297243922</v>
      </c>
      <c r="G144" s="4">
        <f t="shared" si="15"/>
        <v>0.36299311642079246</v>
      </c>
      <c r="H144" s="4">
        <f t="shared" si="16"/>
        <v>0.4278676406067683</v>
      </c>
      <c r="I144" s="4">
        <f t="shared" si="17"/>
        <v>1.5000738233039481</v>
      </c>
      <c r="K144" s="4">
        <f t="shared" si="18"/>
        <v>3.3409542579611866</v>
      </c>
      <c r="L144" s="4">
        <f t="shared" si="19"/>
        <v>0.20044644998141697</v>
      </c>
      <c r="M144" s="4">
        <f t="shared" si="20"/>
        <v>0.36723445632180646</v>
      </c>
      <c r="N144" s="4">
        <f t="shared" si="21"/>
        <v>0.43231909369677662</v>
      </c>
      <c r="O144" s="4">
        <f t="shared" si="22"/>
        <v>1.5388475529621235</v>
      </c>
    </row>
    <row r="145" spans="2:15">
      <c r="B145" s="4">
        <f t="shared" si="23"/>
        <v>2</v>
      </c>
      <c r="C145" s="4">
        <f t="shared" si="24"/>
        <v>28</v>
      </c>
      <c r="D145" s="4">
        <f t="shared" si="26"/>
        <v>2034</v>
      </c>
      <c r="E145" s="4">
        <f t="shared" si="13"/>
        <v>3.5005953313033529</v>
      </c>
      <c r="F145" s="4">
        <f t="shared" si="14"/>
        <v>0.20278742359641061</v>
      </c>
      <c r="G145" s="4">
        <f t="shared" si="15"/>
        <v>0.36440978756975251</v>
      </c>
      <c r="H145" s="4">
        <f t="shared" si="16"/>
        <v>0.43280278883383683</v>
      </c>
      <c r="I145" s="4">
        <f t="shared" si="17"/>
        <v>1.5371267795975587</v>
      </c>
      <c r="K145" s="4">
        <f t="shared" si="18"/>
        <v>3.5005953313033529</v>
      </c>
      <c r="L145" s="4">
        <f t="shared" si="19"/>
        <v>0.19339721727812065</v>
      </c>
      <c r="M145" s="4">
        <f t="shared" si="20"/>
        <v>0.36968695111931854</v>
      </c>
      <c r="N145" s="4">
        <f t="shared" si="21"/>
        <v>0.43691583160256081</v>
      </c>
      <c r="O145" s="4">
        <f t="shared" si="22"/>
        <v>1.5716441038316331</v>
      </c>
    </row>
    <row r="146" spans="2:15">
      <c r="B146" s="4">
        <f t="shared" si="23"/>
        <v>2</v>
      </c>
      <c r="C146" s="4">
        <f t="shared" si="24"/>
        <v>29</v>
      </c>
      <c r="D146" s="4">
        <f t="shared" si="26"/>
        <v>2035</v>
      </c>
      <c r="E146" s="4">
        <f t="shared" si="13"/>
        <v>3.6674779192421663</v>
      </c>
      <c r="F146" s="4">
        <f t="shared" si="14"/>
        <v>0.1969125381610414</v>
      </c>
      <c r="G146" s="4">
        <f t="shared" si="15"/>
        <v>0.36555845391887265</v>
      </c>
      <c r="H146" s="4">
        <f t="shared" si="16"/>
        <v>0.43752900792008598</v>
      </c>
      <c r="I146" s="4">
        <f t="shared" si="17"/>
        <v>1.5740741765574027</v>
      </c>
      <c r="K146" s="4">
        <f t="shared" si="18"/>
        <v>3.6674779192421663</v>
      </c>
      <c r="L146" s="4">
        <f t="shared" si="19"/>
        <v>0.18661097708148647</v>
      </c>
      <c r="M146" s="4">
        <f t="shared" si="20"/>
        <v>0.37215023010217718</v>
      </c>
      <c r="N146" s="4">
        <f t="shared" si="21"/>
        <v>0.44123879281633638</v>
      </c>
      <c r="O146" s="4">
        <f t="shared" si="22"/>
        <v>1.6050631830039914</v>
      </c>
    </row>
    <row r="147" spans="2:15">
      <c r="B147" s="4">
        <f t="shared" si="23"/>
        <v>2</v>
      </c>
      <c r="C147" s="4">
        <f t="shared" si="24"/>
        <v>30</v>
      </c>
      <c r="D147" s="4">
        <f t="shared" si="26"/>
        <v>2036</v>
      </c>
      <c r="E147" s="4">
        <f t="shared" si="13"/>
        <v>3.8436178894871786</v>
      </c>
      <c r="F147" s="4">
        <f t="shared" si="14"/>
        <v>0.19115762784367857</v>
      </c>
      <c r="G147" s="4">
        <f t="shared" si="15"/>
        <v>0.36665316873485831</v>
      </c>
      <c r="H147" s="4">
        <f t="shared" si="16"/>
        <v>0.44218920342146306</v>
      </c>
      <c r="I147" s="4">
        <f t="shared" si="17"/>
        <v>1.6113886399334285</v>
      </c>
      <c r="K147" s="4">
        <f t="shared" si="18"/>
        <v>3.8436178894871786</v>
      </c>
      <c r="L147" s="4">
        <f t="shared" si="19"/>
        <v>0.18001609114003742</v>
      </c>
      <c r="M147" s="4">
        <f t="shared" si="20"/>
        <v>0.37464801734357084</v>
      </c>
      <c r="N147" s="4">
        <f t="shared" si="21"/>
        <v>0.44533589151639169</v>
      </c>
      <c r="O147" s="4">
        <f t="shared" si="22"/>
        <v>1.6394437411356395</v>
      </c>
    </row>
    <row r="148" spans="2:15">
      <c r="B148" s="4">
        <f t="shared" si="23"/>
        <v>2</v>
      </c>
      <c r="C148" s="4">
        <f t="shared" si="24"/>
        <v>31</v>
      </c>
      <c r="D148" s="4">
        <f>D147+1</f>
        <v>2037</v>
      </c>
      <c r="E148" s="4">
        <f t="shared" si="13"/>
        <v>4.0251066963157207</v>
      </c>
      <c r="F148" s="4">
        <f t="shared" si="14"/>
        <v>0.18563341625914284</v>
      </c>
      <c r="G148" s="4">
        <f t="shared" si="15"/>
        <v>0.36774450201300724</v>
      </c>
      <c r="H148" s="4">
        <f t="shared" si="16"/>
        <v>0.4466220817278499</v>
      </c>
      <c r="I148" s="4">
        <f t="shared" si="17"/>
        <v>1.6497024294062486</v>
      </c>
      <c r="K148" s="4">
        <f t="shared" si="18"/>
        <v>4.0251066963157207</v>
      </c>
      <c r="L148" s="4">
        <f t="shared" si="19"/>
        <v>0.17375719688718941</v>
      </c>
      <c r="M148" s="4">
        <f t="shared" si="20"/>
        <v>0.37712102194511699</v>
      </c>
      <c r="N148" s="4">
        <f t="shared" si="21"/>
        <v>0.44912178116769363</v>
      </c>
      <c r="O148" s="4">
        <f t="shared" si="22"/>
        <v>1.6739763614873762</v>
      </c>
    </row>
    <row r="149" spans="2:15">
      <c r="B149" s="4">
        <f t="shared" si="23"/>
        <v>2</v>
      </c>
      <c r="C149" s="4">
        <f t="shared" si="24"/>
        <v>32</v>
      </c>
      <c r="D149" s="4">
        <f>D148+1</f>
        <v>2038</v>
      </c>
      <c r="E149" s="4">
        <f t="shared" ref="E149:E212" si="27">INDEX($E$43:$I$76,$C149,$B149)/$E$43</f>
        <v>4.217010311411669</v>
      </c>
      <c r="F149" s="4">
        <f t="shared" ref="F149:F212" si="28">INDEX($P$46:$T$79,$C149,$B149)</f>
        <v>0.18022332692222309</v>
      </c>
      <c r="G149" s="4">
        <f t="shared" ref="G149:G212" si="29">INDEX($W$46:$AA$79,$C149,$B149)</f>
        <v>0.36878151151451927</v>
      </c>
      <c r="H149" s="4">
        <f t="shared" ref="H149:H212" si="30">1-F149-G149</f>
        <v>0.45099516156325764</v>
      </c>
      <c r="I149" s="4">
        <f t="shared" ref="I149:I212" si="31">INDEX($AD$46:$AH$79,$C149,$B149)/$AD$46</f>
        <v>1.6884912448148164</v>
      </c>
      <c r="K149" s="4">
        <f t="shared" ref="K149:K212" si="32">E149</f>
        <v>4.217010311411669</v>
      </c>
      <c r="L149" s="4">
        <f t="shared" ref="L149:L212" si="33">0.5056*($K149^(-0.767))</f>
        <v>0.16765962436018975</v>
      </c>
      <c r="M149" s="4">
        <f t="shared" ref="M149:M212" si="34">0.3092*$K149^(0.1426)</f>
        <v>0.37963404309180049</v>
      </c>
      <c r="N149" s="4">
        <f t="shared" ref="N149:N212" si="35">1-L149-M149</f>
        <v>0.45270633254800974</v>
      </c>
      <c r="O149" s="4">
        <f t="shared" ref="O149:O212" si="36">0.8923*(K149^0.4518)</f>
        <v>1.7095743757500197</v>
      </c>
    </row>
    <row r="150" spans="2:15">
      <c r="B150" s="4">
        <f t="shared" ref="B150:B213" si="37">IF(D149=2040,B149+1,B149)</f>
        <v>2</v>
      </c>
      <c r="C150" s="4">
        <f t="shared" ref="C150:C213" si="38">IF(D149=2040,1,C149+1)</f>
        <v>33</v>
      </c>
      <c r="D150" s="4">
        <f>D149+1</f>
        <v>2039</v>
      </c>
      <c r="E150" s="4">
        <f t="shared" si="27"/>
        <v>4.4177783786217084</v>
      </c>
      <c r="F150" s="4">
        <f t="shared" si="28"/>
        <v>0.17499045296079455</v>
      </c>
      <c r="G150" s="4">
        <f t="shared" si="29"/>
        <v>0.36979313566176314</v>
      </c>
      <c r="H150" s="4">
        <f t="shared" si="30"/>
        <v>0.45521641137744234</v>
      </c>
      <c r="I150" s="4">
        <f t="shared" si="31"/>
        <v>1.728101139922593</v>
      </c>
      <c r="K150" s="4">
        <f t="shared" si="32"/>
        <v>4.4177783786217084</v>
      </c>
      <c r="L150" s="4">
        <f t="shared" si="33"/>
        <v>0.16178403191708471</v>
      </c>
      <c r="M150" s="4">
        <f t="shared" si="34"/>
        <v>0.38216029630438575</v>
      </c>
      <c r="N150" s="4">
        <f t="shared" si="35"/>
        <v>0.45605567177852957</v>
      </c>
      <c r="O150" s="4">
        <f t="shared" si="36"/>
        <v>1.7458785388557645</v>
      </c>
    </row>
    <row r="151" spans="2:15">
      <c r="B151" s="4">
        <f t="shared" si="37"/>
        <v>2</v>
      </c>
      <c r="C151" s="4">
        <f t="shared" si="38"/>
        <v>34</v>
      </c>
      <c r="D151" s="4">
        <f>D150+1</f>
        <v>2040</v>
      </c>
      <c r="E151" s="4">
        <f t="shared" si="27"/>
        <v>4.6275000803030855</v>
      </c>
      <c r="F151" s="4">
        <f t="shared" si="28"/>
        <v>0.16997429262194147</v>
      </c>
      <c r="G151" s="4">
        <f t="shared" si="29"/>
        <v>0.37076741870887886</v>
      </c>
      <c r="H151" s="4">
        <f t="shared" si="30"/>
        <v>0.45925828866917973</v>
      </c>
      <c r="I151" s="4">
        <f t="shared" si="31"/>
        <v>1.7686726624816909</v>
      </c>
      <c r="K151" s="4">
        <f t="shared" si="32"/>
        <v>4.6275000803030855</v>
      </c>
      <c r="L151" s="4">
        <f t="shared" si="33"/>
        <v>0.15612999638669489</v>
      </c>
      <c r="M151" s="4">
        <f t="shared" si="34"/>
        <v>0.38469619156002155</v>
      </c>
      <c r="N151" s="4">
        <f t="shared" si="35"/>
        <v>0.45917381205328356</v>
      </c>
      <c r="O151" s="4">
        <f t="shared" si="36"/>
        <v>1.7828483864036169</v>
      </c>
    </row>
    <row r="152" spans="2:15">
      <c r="B152" s="4">
        <f t="shared" si="37"/>
        <v>3</v>
      </c>
      <c r="C152" s="4">
        <f t="shared" si="38"/>
        <v>1</v>
      </c>
      <c r="D152" s="4">
        <v>2007</v>
      </c>
      <c r="E152" s="4">
        <f t="shared" si="27"/>
        <v>1</v>
      </c>
      <c r="F152" s="4">
        <f t="shared" si="28"/>
        <v>0.50003199863472492</v>
      </c>
      <c r="G152" s="4">
        <f t="shared" si="29"/>
        <v>0.30001919918083497</v>
      </c>
      <c r="H152" s="4">
        <f t="shared" si="30"/>
        <v>0.19994880218444011</v>
      </c>
      <c r="I152" s="4">
        <f t="shared" si="31"/>
        <v>1</v>
      </c>
      <c r="K152" s="4">
        <f t="shared" si="32"/>
        <v>1</v>
      </c>
      <c r="L152" s="4">
        <f t="shared" si="33"/>
        <v>0.50560000000000005</v>
      </c>
      <c r="M152" s="4">
        <f t="shared" si="34"/>
        <v>0.30919999999999997</v>
      </c>
      <c r="N152" s="4">
        <f t="shared" si="35"/>
        <v>0.18519999999999998</v>
      </c>
      <c r="O152" s="4">
        <f t="shared" si="36"/>
        <v>0.89229999999999998</v>
      </c>
    </row>
    <row r="153" spans="2:15">
      <c r="B153" s="4">
        <f t="shared" si="37"/>
        <v>3</v>
      </c>
      <c r="C153" s="4">
        <f t="shared" si="38"/>
        <v>2</v>
      </c>
      <c r="D153" s="4">
        <f>D152+1</f>
        <v>2008</v>
      </c>
      <c r="E153" s="4">
        <f t="shared" si="27"/>
        <v>1.0234673413076376</v>
      </c>
      <c r="F153" s="4">
        <f t="shared" si="28"/>
        <v>0.49083032025970963</v>
      </c>
      <c r="G153" s="4">
        <f t="shared" si="29"/>
        <v>0.30251431961108088</v>
      </c>
      <c r="H153" s="4">
        <f t="shared" si="30"/>
        <v>0.20665536012920949</v>
      </c>
      <c r="I153" s="4">
        <f t="shared" si="31"/>
        <v>0.99317536763394298</v>
      </c>
      <c r="K153" s="4">
        <f t="shared" si="32"/>
        <v>1.0234673413076376</v>
      </c>
      <c r="L153" s="4">
        <f t="shared" si="33"/>
        <v>0.49668416667459092</v>
      </c>
      <c r="M153" s="4">
        <f t="shared" si="34"/>
        <v>0.31022445914327113</v>
      </c>
      <c r="N153" s="4">
        <f t="shared" si="35"/>
        <v>0.19309137418213795</v>
      </c>
      <c r="O153" s="4">
        <f t="shared" si="36"/>
        <v>0.90170052221010677</v>
      </c>
    </row>
    <row r="154" spans="2:15">
      <c r="B154" s="4">
        <f t="shared" si="37"/>
        <v>3</v>
      </c>
      <c r="C154" s="4">
        <f t="shared" si="38"/>
        <v>3</v>
      </c>
      <c r="D154" s="4">
        <f t="shared" ref="D154:D181" si="39">D153+1</f>
        <v>2009</v>
      </c>
      <c r="E154" s="4">
        <f t="shared" si="27"/>
        <v>1.0469275540042842</v>
      </c>
      <c r="F154" s="4">
        <f t="shared" si="28"/>
        <v>0.48075416960886902</v>
      </c>
      <c r="G154" s="4">
        <f t="shared" si="29"/>
        <v>0.30505236985116352</v>
      </c>
      <c r="H154" s="4">
        <f t="shared" si="30"/>
        <v>0.21419346053996741</v>
      </c>
      <c r="I154" s="4">
        <f t="shared" si="31"/>
        <v>0.98019162384766734</v>
      </c>
      <c r="K154" s="4">
        <f t="shared" si="32"/>
        <v>1.0469275540042842</v>
      </c>
      <c r="L154" s="4">
        <f t="shared" si="33"/>
        <v>0.48812495364028957</v>
      </c>
      <c r="M154" s="4">
        <f t="shared" si="34"/>
        <v>0.31122866990703063</v>
      </c>
      <c r="N154" s="4">
        <f t="shared" si="35"/>
        <v>0.20064637645267974</v>
      </c>
      <c r="O154" s="4">
        <f t="shared" si="36"/>
        <v>0.91098080561011352</v>
      </c>
    </row>
    <row r="155" spans="2:15">
      <c r="B155" s="4">
        <f t="shared" si="37"/>
        <v>3</v>
      </c>
      <c r="C155" s="4">
        <f t="shared" si="38"/>
        <v>4</v>
      </c>
      <c r="D155" s="4">
        <f t="shared" si="39"/>
        <v>2010</v>
      </c>
      <c r="E155" s="4">
        <f t="shared" si="27"/>
        <v>1.0709862562670511</v>
      </c>
      <c r="F155" s="4">
        <f t="shared" si="28"/>
        <v>0.47237702657509617</v>
      </c>
      <c r="G155" s="4">
        <f t="shared" si="29"/>
        <v>0.30755766573971149</v>
      </c>
      <c r="H155" s="4">
        <f t="shared" si="30"/>
        <v>0.22006530768519234</v>
      </c>
      <c r="I155" s="4">
        <f t="shared" si="31"/>
        <v>0.97391776947727315</v>
      </c>
      <c r="K155" s="4">
        <f t="shared" si="32"/>
        <v>1.0709862562670511</v>
      </c>
      <c r="L155" s="4">
        <f t="shared" si="33"/>
        <v>0.47969237568528533</v>
      </c>
      <c r="M155" s="4">
        <f t="shared" si="34"/>
        <v>0.31223865610974189</v>
      </c>
      <c r="N155" s="4">
        <f t="shared" si="35"/>
        <v>0.20806896820497278</v>
      </c>
      <c r="O155" s="4">
        <f t="shared" si="36"/>
        <v>0.92038018042604541</v>
      </c>
    </row>
    <row r="156" spans="2:15">
      <c r="B156" s="4">
        <f t="shared" si="37"/>
        <v>3</v>
      </c>
      <c r="C156" s="4">
        <f t="shared" si="38"/>
        <v>5</v>
      </c>
      <c r="D156" s="4">
        <f t="shared" si="39"/>
        <v>2011</v>
      </c>
      <c r="E156" s="4">
        <f t="shared" si="27"/>
        <v>1.0952674472124009</v>
      </c>
      <c r="F156" s="4">
        <f t="shared" si="28"/>
        <v>0.46453710680116245</v>
      </c>
      <c r="G156" s="4">
        <f t="shared" si="29"/>
        <v>0.30980101237672858</v>
      </c>
      <c r="H156" s="4">
        <f t="shared" si="30"/>
        <v>0.22566188082210897</v>
      </c>
      <c r="I156" s="4">
        <f t="shared" si="31"/>
        <v>0.96874861575126303</v>
      </c>
      <c r="K156" s="4">
        <f t="shared" si="32"/>
        <v>1.0952674472124009</v>
      </c>
      <c r="L156" s="4">
        <f t="shared" si="33"/>
        <v>0.47151453743456961</v>
      </c>
      <c r="M156" s="4">
        <f t="shared" si="34"/>
        <v>0.31323844757967628</v>
      </c>
      <c r="N156" s="4">
        <f t="shared" si="35"/>
        <v>0.2152470149857541</v>
      </c>
      <c r="O156" s="4">
        <f t="shared" si="36"/>
        <v>0.92974983581014714</v>
      </c>
    </row>
    <row r="157" spans="2:15">
      <c r="B157" s="4">
        <f t="shared" si="37"/>
        <v>3</v>
      </c>
      <c r="C157" s="4">
        <f t="shared" si="38"/>
        <v>6</v>
      </c>
      <c r="D157" s="4">
        <f t="shared" si="39"/>
        <v>2012</v>
      </c>
      <c r="E157" s="4">
        <f t="shared" si="27"/>
        <v>1.1195413487809718</v>
      </c>
      <c r="F157" s="4">
        <f t="shared" si="28"/>
        <v>0.45771717775812115</v>
      </c>
      <c r="G157" s="4">
        <f t="shared" si="29"/>
        <v>0.3119901289455595</v>
      </c>
      <c r="H157" s="4">
        <f t="shared" si="30"/>
        <v>0.23029269329631935</v>
      </c>
      <c r="I157" s="4">
        <f t="shared" si="31"/>
        <v>0.96719746062971657</v>
      </c>
      <c r="K157" s="4">
        <f t="shared" si="32"/>
        <v>1.1195413487809718</v>
      </c>
      <c r="L157" s="4">
        <f t="shared" si="33"/>
        <v>0.4636532188868755</v>
      </c>
      <c r="M157" s="4">
        <f t="shared" si="34"/>
        <v>0.31421912069741093</v>
      </c>
      <c r="N157" s="4">
        <f t="shared" si="35"/>
        <v>0.22212766041571358</v>
      </c>
      <c r="O157" s="4">
        <f t="shared" si="36"/>
        <v>0.93900353552987359</v>
      </c>
    </row>
    <row r="158" spans="2:15">
      <c r="B158" s="4">
        <f t="shared" si="37"/>
        <v>3</v>
      </c>
      <c r="C158" s="4">
        <f t="shared" si="38"/>
        <v>7</v>
      </c>
      <c r="D158" s="4">
        <f t="shared" si="39"/>
        <v>2013</v>
      </c>
      <c r="E158" s="4">
        <f t="shared" si="27"/>
        <v>1.1433434428661799</v>
      </c>
      <c r="F158" s="4">
        <f t="shared" si="28"/>
        <v>0.45215994439759633</v>
      </c>
      <c r="G158" s="4">
        <f t="shared" si="29"/>
        <v>0.31394772405792337</v>
      </c>
      <c r="H158" s="4">
        <f t="shared" si="30"/>
        <v>0.2338923315444803</v>
      </c>
      <c r="I158" s="4">
        <f t="shared" si="31"/>
        <v>0.96939146642627905</v>
      </c>
      <c r="K158" s="4">
        <f t="shared" si="32"/>
        <v>1.1433434428661799</v>
      </c>
      <c r="L158" s="4">
        <f t="shared" si="33"/>
        <v>0.45623177824829947</v>
      </c>
      <c r="M158" s="4">
        <f t="shared" si="34"/>
        <v>0.31516318694607981</v>
      </c>
      <c r="N158" s="4">
        <f t="shared" si="35"/>
        <v>0.22860503480562078</v>
      </c>
      <c r="O158" s="4">
        <f t="shared" si="36"/>
        <v>0.94797116749233146</v>
      </c>
    </row>
    <row r="159" spans="2:15">
      <c r="B159" s="4">
        <f t="shared" si="37"/>
        <v>3</v>
      </c>
      <c r="C159" s="4">
        <f t="shared" si="38"/>
        <v>8</v>
      </c>
      <c r="D159" s="4">
        <f t="shared" si="39"/>
        <v>2014</v>
      </c>
      <c r="E159" s="4">
        <f t="shared" si="27"/>
        <v>1.210697575494418</v>
      </c>
      <c r="F159" s="4">
        <f t="shared" si="28"/>
        <v>0.43441657919796162</v>
      </c>
      <c r="G159" s="4">
        <f t="shared" si="29"/>
        <v>0.31582924303010856</v>
      </c>
      <c r="H159" s="4">
        <f t="shared" si="30"/>
        <v>0.24975417777192982</v>
      </c>
      <c r="I159" s="4">
        <f t="shared" si="31"/>
        <v>0.97206945500934072</v>
      </c>
      <c r="K159" s="4">
        <f t="shared" si="32"/>
        <v>1.210697575494418</v>
      </c>
      <c r="L159" s="4">
        <f t="shared" si="33"/>
        <v>0.43663516000887242</v>
      </c>
      <c r="M159" s="4">
        <f t="shared" si="34"/>
        <v>0.31774620493497852</v>
      </c>
      <c r="N159" s="4">
        <f t="shared" si="35"/>
        <v>0.245618635056149</v>
      </c>
      <c r="O159" s="4">
        <f t="shared" si="36"/>
        <v>0.9728063793827012</v>
      </c>
    </row>
    <row r="160" spans="2:15">
      <c r="B160" s="4">
        <f t="shared" si="37"/>
        <v>3</v>
      </c>
      <c r="C160" s="4">
        <f t="shared" si="38"/>
        <v>9</v>
      </c>
      <c r="D160" s="4">
        <f t="shared" si="39"/>
        <v>2015</v>
      </c>
      <c r="E160" s="4">
        <f t="shared" si="27"/>
        <v>1.2844956850984455</v>
      </c>
      <c r="F160" s="4">
        <f t="shared" si="28"/>
        <v>0.41348732947694022</v>
      </c>
      <c r="G160" s="4">
        <f t="shared" si="29"/>
        <v>0.32029171407734291</v>
      </c>
      <c r="H160" s="4">
        <f t="shared" si="30"/>
        <v>0.26622095644571686</v>
      </c>
      <c r="I160" s="4">
        <f t="shared" si="31"/>
        <v>0.98285193778587654</v>
      </c>
      <c r="K160" s="4">
        <f t="shared" si="32"/>
        <v>1.2844956850984455</v>
      </c>
      <c r="L160" s="4">
        <f t="shared" si="33"/>
        <v>0.41726227629829388</v>
      </c>
      <c r="M160" s="4">
        <f t="shared" si="34"/>
        <v>0.32043855238345487</v>
      </c>
      <c r="N160" s="4">
        <f t="shared" si="35"/>
        <v>0.26229917131825131</v>
      </c>
      <c r="O160" s="4">
        <f t="shared" si="36"/>
        <v>0.99916290986036782</v>
      </c>
    </row>
    <row r="161" spans="2:15">
      <c r="B161" s="4">
        <f t="shared" si="37"/>
        <v>3</v>
      </c>
      <c r="C161" s="4">
        <f t="shared" si="38"/>
        <v>10</v>
      </c>
      <c r="D161" s="4">
        <f t="shared" si="39"/>
        <v>2016</v>
      </c>
      <c r="E161" s="4">
        <f t="shared" si="27"/>
        <v>1.3657799020520831</v>
      </c>
      <c r="F161" s="4">
        <f t="shared" si="28"/>
        <v>0.39274300727101102</v>
      </c>
      <c r="G161" s="4">
        <f t="shared" si="29"/>
        <v>0.32468276438191018</v>
      </c>
      <c r="H161" s="4">
        <f t="shared" si="30"/>
        <v>0.28257422834707885</v>
      </c>
      <c r="I161" s="4">
        <f t="shared" si="31"/>
        <v>0.99721054877837867</v>
      </c>
      <c r="K161" s="4">
        <f t="shared" si="32"/>
        <v>1.3657799020520831</v>
      </c>
      <c r="L161" s="4">
        <f t="shared" si="33"/>
        <v>0.39807972151362325</v>
      </c>
      <c r="M161" s="4">
        <f t="shared" si="34"/>
        <v>0.32325464604091697</v>
      </c>
      <c r="N161" s="4">
        <f t="shared" si="35"/>
        <v>0.27866563244545978</v>
      </c>
      <c r="O161" s="4">
        <f t="shared" si="36"/>
        <v>1.0272494116868744</v>
      </c>
    </row>
    <row r="162" spans="2:15">
      <c r="B162" s="4">
        <f t="shared" si="37"/>
        <v>3</v>
      </c>
      <c r="C162" s="4">
        <f t="shared" si="38"/>
        <v>11</v>
      </c>
      <c r="D162" s="4">
        <f t="shared" si="39"/>
        <v>2017</v>
      </c>
      <c r="E162" s="4">
        <f t="shared" si="27"/>
        <v>1.4544268180392537</v>
      </c>
      <c r="F162" s="4">
        <f t="shared" si="28"/>
        <v>0.37247586044525699</v>
      </c>
      <c r="G162" s="4">
        <f t="shared" si="29"/>
        <v>0.32891658578418365</v>
      </c>
      <c r="H162" s="4">
        <f t="shared" si="30"/>
        <v>0.29860755377055942</v>
      </c>
      <c r="I162" s="4">
        <f t="shared" si="31"/>
        <v>1.0158082562880251</v>
      </c>
      <c r="K162" s="4">
        <f t="shared" si="32"/>
        <v>1.4544268180392537</v>
      </c>
      <c r="L162" s="4">
        <f t="shared" si="33"/>
        <v>0.37933454802014832</v>
      </c>
      <c r="M162" s="4">
        <f t="shared" si="34"/>
        <v>0.32616649482083548</v>
      </c>
      <c r="N162" s="4">
        <f t="shared" si="35"/>
        <v>0.29449895715901619</v>
      </c>
      <c r="O162" s="4">
        <f t="shared" si="36"/>
        <v>1.056854209598596</v>
      </c>
    </row>
    <row r="163" spans="2:15">
      <c r="B163" s="4">
        <f t="shared" si="37"/>
        <v>3</v>
      </c>
      <c r="C163" s="4">
        <f t="shared" si="38"/>
        <v>12</v>
      </c>
      <c r="D163" s="4">
        <f t="shared" si="39"/>
        <v>2018</v>
      </c>
      <c r="E163" s="4">
        <f t="shared" si="27"/>
        <v>1.5498452285379409</v>
      </c>
      <c r="F163" s="4">
        <f t="shared" si="28"/>
        <v>0.3536216808084911</v>
      </c>
      <c r="G163" s="4">
        <f t="shared" si="29"/>
        <v>0.33257297640029332</v>
      </c>
      <c r="H163" s="4">
        <f t="shared" si="30"/>
        <v>0.31380534279121558</v>
      </c>
      <c r="I163" s="4">
        <f t="shared" si="31"/>
        <v>1.0406576768537217</v>
      </c>
      <c r="K163" s="4">
        <f t="shared" si="32"/>
        <v>1.5498452285379409</v>
      </c>
      <c r="L163" s="4">
        <f t="shared" si="33"/>
        <v>0.36128997890156339</v>
      </c>
      <c r="M163" s="4">
        <f t="shared" si="34"/>
        <v>0.32913540458313872</v>
      </c>
      <c r="N163" s="4">
        <f t="shared" si="35"/>
        <v>0.30957461651529794</v>
      </c>
      <c r="O163" s="4">
        <f t="shared" si="36"/>
        <v>1.0876349650586752</v>
      </c>
    </row>
    <row r="164" spans="2:15">
      <c r="B164" s="4">
        <f t="shared" si="37"/>
        <v>3</v>
      </c>
      <c r="C164" s="4">
        <f t="shared" si="38"/>
        <v>13</v>
      </c>
      <c r="D164" s="4">
        <f t="shared" si="39"/>
        <v>2019</v>
      </c>
      <c r="E164" s="4">
        <f t="shared" si="27"/>
        <v>1.6527033655244392</v>
      </c>
      <c r="F164" s="4">
        <f t="shared" si="28"/>
        <v>0.33538524677688408</v>
      </c>
      <c r="G164" s="4">
        <f t="shared" si="29"/>
        <v>0.336102592011434</v>
      </c>
      <c r="H164" s="4">
        <f t="shared" si="30"/>
        <v>0.32851216121168192</v>
      </c>
      <c r="I164" s="4">
        <f t="shared" si="31"/>
        <v>1.0701291788784622</v>
      </c>
      <c r="K164" s="4">
        <f t="shared" si="32"/>
        <v>1.6527033655244392</v>
      </c>
      <c r="L164" s="4">
        <f t="shared" si="33"/>
        <v>0.34391535634744708</v>
      </c>
      <c r="M164" s="4">
        <f t="shared" si="34"/>
        <v>0.33216516093062093</v>
      </c>
      <c r="N164" s="4">
        <f t="shared" si="35"/>
        <v>0.32391948272193199</v>
      </c>
      <c r="O164" s="4">
        <f t="shared" si="36"/>
        <v>1.1196733823767562</v>
      </c>
    </row>
    <row r="165" spans="2:15">
      <c r="B165" s="4">
        <f t="shared" si="37"/>
        <v>3</v>
      </c>
      <c r="C165" s="4">
        <f t="shared" si="38"/>
        <v>14</v>
      </c>
      <c r="D165" s="4">
        <f t="shared" si="39"/>
        <v>2020</v>
      </c>
      <c r="E165" s="4">
        <f t="shared" si="27"/>
        <v>1.7435439898149916</v>
      </c>
      <c r="F165" s="4">
        <f t="shared" si="28"/>
        <v>0.32064079838930726</v>
      </c>
      <c r="G165" s="4">
        <f t="shared" si="29"/>
        <v>0.33947353072116881</v>
      </c>
      <c r="H165" s="4">
        <f t="shared" si="30"/>
        <v>0.33988567088952393</v>
      </c>
      <c r="I165" s="4">
        <f t="shared" si="31"/>
        <v>1.0973769882939766</v>
      </c>
      <c r="K165" s="4">
        <f t="shared" si="32"/>
        <v>1.7435439898149916</v>
      </c>
      <c r="L165" s="4">
        <f t="shared" si="33"/>
        <v>0.33008669852535444</v>
      </c>
      <c r="M165" s="4">
        <f t="shared" si="34"/>
        <v>0.33470932971881667</v>
      </c>
      <c r="N165" s="4">
        <f t="shared" si="35"/>
        <v>0.33520397175582889</v>
      </c>
      <c r="O165" s="4">
        <f t="shared" si="36"/>
        <v>1.1470709502845873</v>
      </c>
    </row>
    <row r="166" spans="2:15">
      <c r="B166" s="4">
        <f t="shared" si="37"/>
        <v>3</v>
      </c>
      <c r="C166" s="4">
        <f t="shared" si="38"/>
        <v>15</v>
      </c>
      <c r="D166" s="4">
        <f t="shared" si="39"/>
        <v>2021</v>
      </c>
      <c r="E166" s="4">
        <f t="shared" si="27"/>
        <v>1.8443002861758961</v>
      </c>
      <c r="F166" s="4">
        <f t="shared" si="28"/>
        <v>0.30673133994794083</v>
      </c>
      <c r="G166" s="4">
        <f t="shared" si="29"/>
        <v>0.34215817343444771</v>
      </c>
      <c r="H166" s="4">
        <f t="shared" si="30"/>
        <v>0.35111048661761152</v>
      </c>
      <c r="I166" s="4">
        <f t="shared" si="31"/>
        <v>1.1314755057738142</v>
      </c>
      <c r="K166" s="4">
        <f t="shared" si="32"/>
        <v>1.8443002861758961</v>
      </c>
      <c r="L166" s="4">
        <f t="shared" si="33"/>
        <v>0.31616529931298692</v>
      </c>
      <c r="M166" s="4">
        <f t="shared" si="34"/>
        <v>0.33740155219596851</v>
      </c>
      <c r="N166" s="4">
        <f t="shared" si="35"/>
        <v>0.34643314849104462</v>
      </c>
      <c r="O166" s="4">
        <f t="shared" si="36"/>
        <v>1.1765587691187362</v>
      </c>
    </row>
    <row r="167" spans="2:15">
      <c r="B167" s="4">
        <f t="shared" si="37"/>
        <v>3</v>
      </c>
      <c r="C167" s="4">
        <f t="shared" si="38"/>
        <v>16</v>
      </c>
      <c r="D167" s="4">
        <f t="shared" si="39"/>
        <v>2022</v>
      </c>
      <c r="E167" s="4">
        <f t="shared" si="27"/>
        <v>1.9529963938063692</v>
      </c>
      <c r="F167" s="4">
        <f t="shared" si="28"/>
        <v>0.29313802007736561</v>
      </c>
      <c r="G167" s="4">
        <f t="shared" si="29"/>
        <v>0.34482096039205523</v>
      </c>
      <c r="H167" s="4">
        <f t="shared" si="30"/>
        <v>0.3620410195305791</v>
      </c>
      <c r="I167" s="4">
        <f t="shared" si="31"/>
        <v>1.169314113546952</v>
      </c>
      <c r="K167" s="4">
        <f t="shared" si="32"/>
        <v>1.9529963938063692</v>
      </c>
      <c r="L167" s="4">
        <f t="shared" si="33"/>
        <v>0.30257919264848443</v>
      </c>
      <c r="M167" s="4">
        <f t="shared" si="34"/>
        <v>0.34016804243339899</v>
      </c>
      <c r="N167" s="4">
        <f t="shared" si="35"/>
        <v>0.35725276491811658</v>
      </c>
      <c r="O167" s="4">
        <f t="shared" si="36"/>
        <v>1.2073961986581196</v>
      </c>
    </row>
    <row r="168" spans="2:15">
      <c r="B168" s="4">
        <f t="shared" si="37"/>
        <v>3</v>
      </c>
      <c r="C168" s="4">
        <f t="shared" si="38"/>
        <v>17</v>
      </c>
      <c r="D168" s="4">
        <f t="shared" si="39"/>
        <v>2023</v>
      </c>
      <c r="E168" s="4">
        <f t="shared" si="27"/>
        <v>2.0685704770211872</v>
      </c>
      <c r="F168" s="4">
        <f t="shared" si="28"/>
        <v>0.2801406568947038</v>
      </c>
      <c r="G168" s="4">
        <f t="shared" si="29"/>
        <v>0.3474205758641577</v>
      </c>
      <c r="H168" s="4">
        <f t="shared" si="30"/>
        <v>0.3724387672411385</v>
      </c>
      <c r="I168" s="4">
        <f t="shared" si="31"/>
        <v>1.2115045797477257</v>
      </c>
      <c r="K168" s="4">
        <f t="shared" si="32"/>
        <v>2.0685704770211872</v>
      </c>
      <c r="L168" s="4">
        <f t="shared" si="33"/>
        <v>0.28952623862360372</v>
      </c>
      <c r="M168" s="4">
        <f t="shared" si="34"/>
        <v>0.34296837297396032</v>
      </c>
      <c r="N168" s="4">
        <f t="shared" si="35"/>
        <v>0.36750538840243596</v>
      </c>
      <c r="O168" s="4">
        <f t="shared" si="36"/>
        <v>1.2391695827941798</v>
      </c>
    </row>
    <row r="169" spans="2:15">
      <c r="B169" s="4">
        <f t="shared" si="37"/>
        <v>3</v>
      </c>
      <c r="C169" s="4">
        <f t="shared" si="38"/>
        <v>18</v>
      </c>
      <c r="D169" s="4">
        <f t="shared" si="39"/>
        <v>2024</v>
      </c>
      <c r="E169" s="4">
        <f t="shared" si="27"/>
        <v>2.186287550319741</v>
      </c>
      <c r="F169" s="4">
        <f t="shared" si="28"/>
        <v>0.26808436137517389</v>
      </c>
      <c r="G169" s="4">
        <f t="shared" si="29"/>
        <v>0.34988010722585805</v>
      </c>
      <c r="H169" s="4">
        <f t="shared" si="30"/>
        <v>0.38203553139896806</v>
      </c>
      <c r="I169" s="4">
        <f t="shared" si="31"/>
        <v>1.2554858193546381</v>
      </c>
      <c r="K169" s="4">
        <f t="shared" si="32"/>
        <v>2.186287550319741</v>
      </c>
      <c r="L169" s="4">
        <f t="shared" si="33"/>
        <v>0.27749271122480923</v>
      </c>
      <c r="M169" s="4">
        <f t="shared" si="34"/>
        <v>0.34568596202618818</v>
      </c>
      <c r="N169" s="4">
        <f t="shared" si="35"/>
        <v>0.37682132674900259</v>
      </c>
      <c r="O169" s="4">
        <f t="shared" si="36"/>
        <v>1.2705467302334461</v>
      </c>
    </row>
    <row r="170" spans="2:15">
      <c r="B170" s="4">
        <f t="shared" si="37"/>
        <v>3</v>
      </c>
      <c r="C170" s="4">
        <f t="shared" si="38"/>
        <v>19</v>
      </c>
      <c r="D170" s="4">
        <f t="shared" si="39"/>
        <v>2025</v>
      </c>
      <c r="E170" s="4">
        <f t="shared" si="27"/>
        <v>2.31224331266551</v>
      </c>
      <c r="F170" s="4">
        <f t="shared" si="28"/>
        <v>0.25670999059493166</v>
      </c>
      <c r="G170" s="4">
        <f t="shared" si="29"/>
        <v>0.35216560248845563</v>
      </c>
      <c r="H170" s="4">
        <f t="shared" si="30"/>
        <v>0.39112440691661265</v>
      </c>
      <c r="I170" s="4">
        <f t="shared" si="31"/>
        <v>1.3028958139001605</v>
      </c>
      <c r="K170" s="4">
        <f t="shared" si="32"/>
        <v>2.31224331266551</v>
      </c>
      <c r="L170" s="4">
        <f t="shared" si="33"/>
        <v>0.26582348425045826</v>
      </c>
      <c r="M170" s="4">
        <f t="shared" si="34"/>
        <v>0.34845818236832837</v>
      </c>
      <c r="N170" s="4">
        <f t="shared" si="35"/>
        <v>0.38571833338121331</v>
      </c>
      <c r="O170" s="4">
        <f t="shared" si="36"/>
        <v>1.3031104957684285</v>
      </c>
    </row>
    <row r="171" spans="2:15">
      <c r="B171" s="4">
        <f t="shared" si="37"/>
        <v>3</v>
      </c>
      <c r="C171" s="4">
        <f t="shared" si="38"/>
        <v>20</v>
      </c>
      <c r="D171" s="4">
        <f t="shared" si="39"/>
        <v>2026</v>
      </c>
      <c r="E171" s="4">
        <f t="shared" si="27"/>
        <v>2.4494851641345727</v>
      </c>
      <c r="F171" s="4">
        <f t="shared" si="28"/>
        <v>0.24548738869296965</v>
      </c>
      <c r="G171" s="4">
        <f t="shared" si="29"/>
        <v>0.35431373398080057</v>
      </c>
      <c r="H171" s="4">
        <f t="shared" si="30"/>
        <v>0.40019887732622983</v>
      </c>
      <c r="I171" s="4">
        <f t="shared" si="31"/>
        <v>1.3531154490161492</v>
      </c>
      <c r="K171" s="4">
        <f t="shared" si="32"/>
        <v>2.4494851641345727</v>
      </c>
      <c r="L171" s="4">
        <f t="shared" si="33"/>
        <v>0.2543236122542834</v>
      </c>
      <c r="M171" s="4">
        <f t="shared" si="34"/>
        <v>0.35133511104382315</v>
      </c>
      <c r="N171" s="4">
        <f t="shared" si="35"/>
        <v>0.39434127670189351</v>
      </c>
      <c r="O171" s="4">
        <f t="shared" si="36"/>
        <v>1.3375033968767467</v>
      </c>
    </row>
    <row r="172" spans="2:15">
      <c r="B172" s="4">
        <f t="shared" si="37"/>
        <v>3</v>
      </c>
      <c r="C172" s="4">
        <f t="shared" si="38"/>
        <v>21</v>
      </c>
      <c r="D172" s="4">
        <f t="shared" si="39"/>
        <v>2027</v>
      </c>
      <c r="E172" s="4">
        <f t="shared" si="27"/>
        <v>2.5990142509329193</v>
      </c>
      <c r="F172" s="4">
        <f t="shared" si="28"/>
        <v>0.234339430556709</v>
      </c>
      <c r="G172" s="4">
        <f t="shared" si="29"/>
        <v>0.35642270115294994</v>
      </c>
      <c r="H172" s="4">
        <f t="shared" si="30"/>
        <v>0.40923786829034103</v>
      </c>
      <c r="I172" s="4">
        <f t="shared" si="31"/>
        <v>1.4063400790497629</v>
      </c>
      <c r="K172" s="4">
        <f t="shared" si="32"/>
        <v>2.5990142509329193</v>
      </c>
      <c r="L172" s="4">
        <f t="shared" si="33"/>
        <v>0.24302380842790777</v>
      </c>
      <c r="M172" s="4">
        <f t="shared" si="34"/>
        <v>0.354316355611769</v>
      </c>
      <c r="N172" s="4">
        <f t="shared" si="35"/>
        <v>0.40265983596032329</v>
      </c>
      <c r="O172" s="4">
        <f t="shared" si="36"/>
        <v>1.3737934643720964</v>
      </c>
    </row>
    <row r="173" spans="2:15">
      <c r="B173" s="4">
        <f t="shared" si="37"/>
        <v>3</v>
      </c>
      <c r="C173" s="4">
        <f t="shared" si="38"/>
        <v>22</v>
      </c>
      <c r="D173" s="4">
        <f t="shared" si="39"/>
        <v>2028</v>
      </c>
      <c r="E173" s="4">
        <f t="shared" si="27"/>
        <v>2.7615500195994178</v>
      </c>
      <c r="F173" s="4">
        <f t="shared" si="28"/>
        <v>0.22304725508220025</v>
      </c>
      <c r="G173" s="4">
        <f t="shared" si="29"/>
        <v>0.35849569369148337</v>
      </c>
      <c r="H173" s="4">
        <f t="shared" si="30"/>
        <v>0.41845705122631638</v>
      </c>
      <c r="I173" s="4">
        <f t="shared" si="31"/>
        <v>1.4620686765926827</v>
      </c>
      <c r="K173" s="4">
        <f t="shared" si="32"/>
        <v>2.7615500195994178</v>
      </c>
      <c r="L173" s="4">
        <f t="shared" si="33"/>
        <v>0.23197585296205669</v>
      </c>
      <c r="M173" s="4">
        <f t="shared" si="34"/>
        <v>0.35739452138017602</v>
      </c>
      <c r="N173" s="4">
        <f t="shared" si="35"/>
        <v>0.41062962565776728</v>
      </c>
      <c r="O173" s="4">
        <f t="shared" si="36"/>
        <v>1.4119645058759382</v>
      </c>
    </row>
    <row r="174" spans="2:15">
      <c r="B174" s="4">
        <f t="shared" si="37"/>
        <v>3</v>
      </c>
      <c r="C174" s="4">
        <f t="shared" si="38"/>
        <v>23</v>
      </c>
      <c r="D174" s="4">
        <f t="shared" si="39"/>
        <v>2029</v>
      </c>
      <c r="E174" s="4">
        <f t="shared" si="27"/>
        <v>2.8998164048788788</v>
      </c>
      <c r="F174" s="4">
        <f t="shared" si="28"/>
        <v>0.21381269471061989</v>
      </c>
      <c r="G174" s="4">
        <f t="shared" si="29"/>
        <v>0.36056660879543906</v>
      </c>
      <c r="H174" s="4">
        <f t="shared" si="30"/>
        <v>0.42562069649394102</v>
      </c>
      <c r="I174" s="4">
        <f t="shared" si="31"/>
        <v>1.5120590385095571</v>
      </c>
      <c r="K174" s="4">
        <f t="shared" si="32"/>
        <v>2.8998164048788788</v>
      </c>
      <c r="L174" s="4">
        <f t="shared" si="33"/>
        <v>0.22344409908992849</v>
      </c>
      <c r="M174" s="4">
        <f t="shared" si="34"/>
        <v>0.35989309884775167</v>
      </c>
      <c r="N174" s="4">
        <f t="shared" si="35"/>
        <v>0.41666280206231987</v>
      </c>
      <c r="O174" s="4">
        <f t="shared" si="36"/>
        <v>1.4434770586615671</v>
      </c>
    </row>
    <row r="175" spans="2:15">
      <c r="B175" s="4">
        <f t="shared" si="37"/>
        <v>3</v>
      </c>
      <c r="C175" s="4">
        <f t="shared" si="38"/>
        <v>24</v>
      </c>
      <c r="D175" s="4">
        <f t="shared" si="39"/>
        <v>2030</v>
      </c>
      <c r="E175" s="4">
        <f t="shared" si="27"/>
        <v>3.0451484850135455</v>
      </c>
      <c r="F175" s="4">
        <f t="shared" si="28"/>
        <v>0.20542682312147764</v>
      </c>
      <c r="G175" s="4">
        <f t="shared" si="29"/>
        <v>0.36215204126257905</v>
      </c>
      <c r="H175" s="4">
        <f t="shared" si="30"/>
        <v>0.43242113561594331</v>
      </c>
      <c r="I175" s="4">
        <f t="shared" si="31"/>
        <v>1.5605772207449053</v>
      </c>
      <c r="K175" s="4">
        <f t="shared" si="32"/>
        <v>3.0451484850135455</v>
      </c>
      <c r="L175" s="4">
        <f t="shared" si="33"/>
        <v>0.21521838373342678</v>
      </c>
      <c r="M175" s="4">
        <f t="shared" si="34"/>
        <v>0.362411569646306</v>
      </c>
      <c r="N175" s="4">
        <f t="shared" si="35"/>
        <v>0.42237004662026728</v>
      </c>
      <c r="O175" s="4">
        <f t="shared" si="36"/>
        <v>1.4757242081966342</v>
      </c>
    </row>
    <row r="176" spans="2:15">
      <c r="B176" s="4">
        <f t="shared" si="37"/>
        <v>3</v>
      </c>
      <c r="C176" s="4">
        <f t="shared" si="38"/>
        <v>25</v>
      </c>
      <c r="D176" s="4">
        <f t="shared" si="39"/>
        <v>2031</v>
      </c>
      <c r="E176" s="4">
        <f t="shared" si="27"/>
        <v>3.1985352105465443</v>
      </c>
      <c r="F176" s="4">
        <f t="shared" si="28"/>
        <v>0.1974153433324822</v>
      </c>
      <c r="G176" s="4">
        <f t="shared" si="29"/>
        <v>0.3636520879225284</v>
      </c>
      <c r="H176" s="4">
        <f t="shared" si="30"/>
        <v>0.43893256874498937</v>
      </c>
      <c r="I176" s="4">
        <f t="shared" si="31"/>
        <v>1.6117087741651053</v>
      </c>
      <c r="K176" s="4">
        <f t="shared" si="32"/>
        <v>3.1985352105465443</v>
      </c>
      <c r="L176" s="4">
        <f t="shared" si="33"/>
        <v>0.20725716056943255</v>
      </c>
      <c r="M176" s="4">
        <f t="shared" si="34"/>
        <v>0.36496020949851027</v>
      </c>
      <c r="N176" s="4">
        <f t="shared" si="35"/>
        <v>0.42778262993205718</v>
      </c>
      <c r="O176" s="4">
        <f t="shared" si="36"/>
        <v>1.508856076481861</v>
      </c>
    </row>
    <row r="177" spans="2:15">
      <c r="B177" s="4">
        <f t="shared" si="37"/>
        <v>3</v>
      </c>
      <c r="C177" s="4">
        <f t="shared" si="38"/>
        <v>26</v>
      </c>
      <c r="D177" s="4">
        <f t="shared" si="39"/>
        <v>2032</v>
      </c>
      <c r="E177" s="4">
        <f t="shared" si="27"/>
        <v>3.3600478393045323</v>
      </c>
      <c r="F177" s="4">
        <f t="shared" si="28"/>
        <v>0.18988971517996564</v>
      </c>
      <c r="G177" s="4">
        <f t="shared" si="29"/>
        <v>0.36509115669795611</v>
      </c>
      <c r="H177" s="4">
        <f t="shared" si="30"/>
        <v>0.44501912812207822</v>
      </c>
      <c r="I177" s="4">
        <f t="shared" si="31"/>
        <v>1.6658390912329619</v>
      </c>
      <c r="K177" s="4">
        <f t="shared" si="32"/>
        <v>3.3600478393045323</v>
      </c>
      <c r="L177" s="4">
        <f t="shared" si="33"/>
        <v>0.19957222390697413</v>
      </c>
      <c r="M177" s="4">
        <f t="shared" si="34"/>
        <v>0.36753300711936515</v>
      </c>
      <c r="N177" s="4">
        <f t="shared" si="35"/>
        <v>0.43289476897366069</v>
      </c>
      <c r="O177" s="4">
        <f t="shared" si="36"/>
        <v>1.5428147141334623</v>
      </c>
    </row>
    <row r="178" spans="2:15">
      <c r="B178" s="4">
        <f t="shared" si="37"/>
        <v>3</v>
      </c>
      <c r="C178" s="4">
        <f t="shared" si="38"/>
        <v>27</v>
      </c>
      <c r="D178" s="4">
        <f t="shared" si="39"/>
        <v>2033</v>
      </c>
      <c r="E178" s="4">
        <f t="shared" si="27"/>
        <v>3.5313137629131028</v>
      </c>
      <c r="F178" s="4">
        <f t="shared" si="28"/>
        <v>0.1826327202064105</v>
      </c>
      <c r="G178" s="4">
        <f t="shared" si="29"/>
        <v>0.36643411656113273</v>
      </c>
      <c r="H178" s="4">
        <f t="shared" si="30"/>
        <v>0.45093316323245675</v>
      </c>
      <c r="I178" s="4">
        <f t="shared" si="31"/>
        <v>1.7223117881657919</v>
      </c>
      <c r="K178" s="4">
        <f t="shared" si="32"/>
        <v>3.5313137629131028</v>
      </c>
      <c r="L178" s="4">
        <f t="shared" si="33"/>
        <v>0.19210555256703113</v>
      </c>
      <c r="M178" s="4">
        <f t="shared" si="34"/>
        <v>0.37014782570945309</v>
      </c>
      <c r="N178" s="4">
        <f t="shared" si="35"/>
        <v>0.43774662172351581</v>
      </c>
      <c r="O178" s="4">
        <f t="shared" si="36"/>
        <v>1.5778601813149442</v>
      </c>
    </row>
    <row r="179" spans="2:15">
      <c r="B179" s="4">
        <f t="shared" si="37"/>
        <v>3</v>
      </c>
      <c r="C179" s="4">
        <f t="shared" si="38"/>
        <v>28</v>
      </c>
      <c r="D179" s="4">
        <f t="shared" si="39"/>
        <v>2034</v>
      </c>
      <c r="E179" s="4">
        <f t="shared" si="27"/>
        <v>3.6669118638238882</v>
      </c>
      <c r="F179" s="4">
        <f t="shared" si="28"/>
        <v>0.17721421514012267</v>
      </c>
      <c r="G179" s="4">
        <f t="shared" si="29"/>
        <v>0.36774300927941106</v>
      </c>
      <c r="H179" s="4">
        <f t="shared" si="30"/>
        <v>0.45504277558046624</v>
      </c>
      <c r="I179" s="4">
        <f t="shared" si="31"/>
        <v>1.7672487971496409</v>
      </c>
      <c r="K179" s="4">
        <f t="shared" si="32"/>
        <v>3.6669118638238882</v>
      </c>
      <c r="L179" s="4">
        <f t="shared" si="33"/>
        <v>0.18663307153280989</v>
      </c>
      <c r="M179" s="4">
        <f t="shared" si="34"/>
        <v>0.37214203870471185</v>
      </c>
      <c r="N179" s="4">
        <f t="shared" si="35"/>
        <v>0.4412248897624782</v>
      </c>
      <c r="O179" s="4">
        <f t="shared" si="36"/>
        <v>1.6049512525725174</v>
      </c>
    </row>
    <row r="180" spans="2:15">
      <c r="B180" s="4">
        <f t="shared" si="37"/>
        <v>3</v>
      </c>
      <c r="C180" s="4">
        <f t="shared" si="38"/>
        <v>29</v>
      </c>
      <c r="D180" s="4">
        <f t="shared" si="39"/>
        <v>2035</v>
      </c>
      <c r="E180" s="4">
        <f t="shared" si="27"/>
        <v>3.8052806759129245</v>
      </c>
      <c r="F180" s="4">
        <f t="shared" si="28"/>
        <v>0.17229464376773485</v>
      </c>
      <c r="G180" s="4">
        <f t="shared" si="29"/>
        <v>0.36863411195326745</v>
      </c>
      <c r="H180" s="4">
        <f t="shared" si="30"/>
        <v>0.4590712442789977</v>
      </c>
      <c r="I180" s="4">
        <f t="shared" si="31"/>
        <v>1.8090632394305146</v>
      </c>
      <c r="K180" s="4">
        <f t="shared" si="32"/>
        <v>3.8052806759129245</v>
      </c>
      <c r="L180" s="4">
        <f t="shared" si="33"/>
        <v>0.18140550813643402</v>
      </c>
      <c r="M180" s="4">
        <f t="shared" si="34"/>
        <v>0.37411285213627538</v>
      </c>
      <c r="N180" s="4">
        <f t="shared" si="35"/>
        <v>0.44448163972729055</v>
      </c>
      <c r="O180" s="4">
        <f t="shared" si="36"/>
        <v>1.6320355030216751</v>
      </c>
    </row>
    <row r="181" spans="2:15">
      <c r="B181" s="4">
        <f t="shared" si="37"/>
        <v>3</v>
      </c>
      <c r="C181" s="4">
        <f t="shared" si="38"/>
        <v>30</v>
      </c>
      <c r="D181" s="4">
        <f t="shared" si="39"/>
        <v>2036</v>
      </c>
      <c r="E181" s="4">
        <f t="shared" si="27"/>
        <v>3.9472837513103318</v>
      </c>
      <c r="F181" s="4">
        <f t="shared" si="28"/>
        <v>0.16752554306854206</v>
      </c>
      <c r="G181" s="4">
        <f t="shared" si="29"/>
        <v>0.36953062158548394</v>
      </c>
      <c r="H181" s="4">
        <f t="shared" si="30"/>
        <v>0.462943835345974</v>
      </c>
      <c r="I181" s="4">
        <f t="shared" si="31"/>
        <v>1.8511532654939715</v>
      </c>
      <c r="K181" s="4">
        <f t="shared" si="32"/>
        <v>3.9472837513103318</v>
      </c>
      <c r="L181" s="4">
        <f t="shared" si="33"/>
        <v>0.17637873895501971</v>
      </c>
      <c r="M181" s="4">
        <f t="shared" si="34"/>
        <v>0.37607254534206142</v>
      </c>
      <c r="N181" s="4">
        <f t="shared" si="35"/>
        <v>0.44754871570291882</v>
      </c>
      <c r="O181" s="4">
        <f t="shared" si="36"/>
        <v>1.659275444336582</v>
      </c>
    </row>
    <row r="182" spans="2:15">
      <c r="B182" s="4">
        <f t="shared" si="37"/>
        <v>3</v>
      </c>
      <c r="C182" s="4">
        <f t="shared" si="38"/>
        <v>31</v>
      </c>
      <c r="D182" s="4">
        <f>D181+1</f>
        <v>2037</v>
      </c>
      <c r="E182" s="4">
        <f t="shared" si="27"/>
        <v>4.0888880772332232</v>
      </c>
      <c r="F182" s="4">
        <f t="shared" si="28"/>
        <v>0.16305106091496185</v>
      </c>
      <c r="G182" s="4">
        <f t="shared" si="29"/>
        <v>0.37040126671145124</v>
      </c>
      <c r="H182" s="4">
        <f t="shared" si="30"/>
        <v>0.46654767237358696</v>
      </c>
      <c r="I182" s="4">
        <f t="shared" si="31"/>
        <v>1.8938374131559235</v>
      </c>
      <c r="K182" s="4">
        <f t="shared" si="32"/>
        <v>4.0888880772332232</v>
      </c>
      <c r="L182" s="4">
        <f t="shared" si="33"/>
        <v>0.17167452688929133</v>
      </c>
      <c r="M182" s="4">
        <f t="shared" si="34"/>
        <v>0.37796744077754307</v>
      </c>
      <c r="N182" s="4">
        <f t="shared" si="35"/>
        <v>0.45035803233316563</v>
      </c>
      <c r="O182" s="4">
        <f t="shared" si="36"/>
        <v>1.6859090142116013</v>
      </c>
    </row>
    <row r="183" spans="2:15">
      <c r="B183" s="4">
        <f t="shared" si="37"/>
        <v>3</v>
      </c>
      <c r="C183" s="4">
        <f t="shared" si="38"/>
        <v>32</v>
      </c>
      <c r="D183" s="4">
        <f>D182+1</f>
        <v>2038</v>
      </c>
      <c r="E183" s="4">
        <f t="shared" si="27"/>
        <v>4.2354806465102905</v>
      </c>
      <c r="F183" s="4">
        <f t="shared" si="28"/>
        <v>0.15875868392667006</v>
      </c>
      <c r="G183" s="4">
        <f t="shared" si="29"/>
        <v>0.37121122164413894</v>
      </c>
      <c r="H183" s="4">
        <f t="shared" si="30"/>
        <v>0.47003009442919103</v>
      </c>
      <c r="I183" s="4">
        <f t="shared" si="31"/>
        <v>1.9366326186919458</v>
      </c>
      <c r="K183" s="4">
        <f t="shared" si="32"/>
        <v>4.2354806465102905</v>
      </c>
      <c r="L183" s="4">
        <f t="shared" si="33"/>
        <v>0.16709855454478864</v>
      </c>
      <c r="M183" s="4">
        <f t="shared" si="34"/>
        <v>0.37987071175606807</v>
      </c>
      <c r="N183" s="4">
        <f t="shared" si="35"/>
        <v>0.45303073369914332</v>
      </c>
      <c r="O183" s="4">
        <f t="shared" si="36"/>
        <v>1.7129533416625202</v>
      </c>
    </row>
    <row r="184" spans="2:15">
      <c r="B184" s="4">
        <f t="shared" si="37"/>
        <v>3</v>
      </c>
      <c r="C184" s="4">
        <f t="shared" si="38"/>
        <v>33</v>
      </c>
      <c r="D184" s="4">
        <f>D183+1</f>
        <v>2039</v>
      </c>
      <c r="E184" s="4">
        <f t="shared" si="27"/>
        <v>4.3848536026293896</v>
      </c>
      <c r="F184" s="4">
        <f t="shared" si="28"/>
        <v>0.1546303800054549</v>
      </c>
      <c r="G184" s="4">
        <f t="shared" si="29"/>
        <v>0.37199078586352108</v>
      </c>
      <c r="H184" s="4">
        <f t="shared" si="30"/>
        <v>0.473378834131024</v>
      </c>
      <c r="I184" s="4">
        <f t="shared" si="31"/>
        <v>1.9796368691298512</v>
      </c>
      <c r="K184" s="4">
        <f t="shared" si="32"/>
        <v>4.3848536026293896</v>
      </c>
      <c r="L184" s="4">
        <f t="shared" si="33"/>
        <v>0.1627149679573941</v>
      </c>
      <c r="M184" s="4">
        <f t="shared" si="34"/>
        <v>0.38175284494206724</v>
      </c>
      <c r="N184" s="4">
        <f t="shared" si="35"/>
        <v>0.45553218710053872</v>
      </c>
      <c r="O184" s="4">
        <f t="shared" si="36"/>
        <v>1.7399878124266104</v>
      </c>
    </row>
    <row r="185" spans="2:15">
      <c r="B185" s="4">
        <f t="shared" si="37"/>
        <v>3</v>
      </c>
      <c r="C185" s="4">
        <f t="shared" si="38"/>
        <v>34</v>
      </c>
      <c r="D185" s="4">
        <f>D184+1</f>
        <v>2040</v>
      </c>
      <c r="E185" s="4">
        <f t="shared" si="27"/>
        <v>4.5368328072516526</v>
      </c>
      <c r="F185" s="4">
        <f t="shared" si="28"/>
        <v>0.15070000881860313</v>
      </c>
      <c r="G185" s="4">
        <f t="shared" si="29"/>
        <v>0.37274961675472074</v>
      </c>
      <c r="H185" s="4">
        <f t="shared" si="30"/>
        <v>0.47655037442667614</v>
      </c>
      <c r="I185" s="4">
        <f t="shared" si="31"/>
        <v>2.0230762893134737</v>
      </c>
      <c r="K185" s="4">
        <f t="shared" si="32"/>
        <v>4.5368328072516526</v>
      </c>
      <c r="L185" s="4">
        <f t="shared" si="33"/>
        <v>0.15851767249723908</v>
      </c>
      <c r="M185" s="4">
        <f t="shared" si="34"/>
        <v>0.38361221799239476</v>
      </c>
      <c r="N185" s="4">
        <f t="shared" si="35"/>
        <v>0.45787010951036622</v>
      </c>
      <c r="O185" s="4">
        <f t="shared" si="36"/>
        <v>1.7669806622868995</v>
      </c>
    </row>
    <row r="186" spans="2:15">
      <c r="B186" s="4">
        <f t="shared" si="37"/>
        <v>4</v>
      </c>
      <c r="C186" s="4">
        <f t="shared" si="38"/>
        <v>1</v>
      </c>
      <c r="D186" s="4">
        <v>2007</v>
      </c>
      <c r="E186" s="4">
        <f t="shared" si="27"/>
        <v>1</v>
      </c>
      <c r="F186" s="4">
        <f t="shared" si="28"/>
        <v>0.50003199863472492</v>
      </c>
      <c r="G186" s="4">
        <f t="shared" si="29"/>
        <v>0.30001919918083497</v>
      </c>
      <c r="H186" s="4">
        <f t="shared" si="30"/>
        <v>0.19994880218444011</v>
      </c>
      <c r="I186" s="4">
        <f t="shared" si="31"/>
        <v>1</v>
      </c>
      <c r="K186" s="4">
        <f t="shared" si="32"/>
        <v>1</v>
      </c>
      <c r="L186" s="4">
        <f t="shared" si="33"/>
        <v>0.50560000000000005</v>
      </c>
      <c r="M186" s="4">
        <f t="shared" si="34"/>
        <v>0.30919999999999997</v>
      </c>
      <c r="N186" s="4">
        <f t="shared" si="35"/>
        <v>0.18519999999999998</v>
      </c>
      <c r="O186" s="4">
        <f t="shared" si="36"/>
        <v>0.89229999999999998</v>
      </c>
    </row>
    <row r="187" spans="2:15">
      <c r="B187" s="4">
        <f t="shared" si="37"/>
        <v>4</v>
      </c>
      <c r="C187" s="4">
        <f t="shared" si="38"/>
        <v>2</v>
      </c>
      <c r="D187" s="4">
        <f>D186+1</f>
        <v>2008</v>
      </c>
      <c r="E187" s="4">
        <f t="shared" si="27"/>
        <v>1.0234673413076407</v>
      </c>
      <c r="F187" s="4">
        <f t="shared" si="28"/>
        <v>0.49083032025981077</v>
      </c>
      <c r="G187" s="4">
        <f t="shared" si="29"/>
        <v>0.30251431961099878</v>
      </c>
      <c r="H187" s="4">
        <f t="shared" si="30"/>
        <v>0.20665536012919045</v>
      </c>
      <c r="I187" s="4">
        <f t="shared" si="31"/>
        <v>0.99317536763407499</v>
      </c>
      <c r="K187" s="4">
        <f t="shared" si="32"/>
        <v>1.0234673413076407</v>
      </c>
      <c r="L187" s="4">
        <f t="shared" si="33"/>
        <v>0.49668416667458976</v>
      </c>
      <c r="M187" s="4">
        <f t="shared" si="34"/>
        <v>0.31022445914327129</v>
      </c>
      <c r="N187" s="4">
        <f t="shared" si="35"/>
        <v>0.1930913741821389</v>
      </c>
      <c r="O187" s="4">
        <f t="shared" si="36"/>
        <v>0.90170052221010799</v>
      </c>
    </row>
    <row r="188" spans="2:15">
      <c r="B188" s="4">
        <f t="shared" si="37"/>
        <v>4</v>
      </c>
      <c r="C188" s="4">
        <f t="shared" si="38"/>
        <v>3</v>
      </c>
      <c r="D188" s="4">
        <f t="shared" ref="D188:D215" si="40">D187+1</f>
        <v>2009</v>
      </c>
      <c r="E188" s="4">
        <f t="shared" si="27"/>
        <v>1.0469283017716868</v>
      </c>
      <c r="F188" s="4">
        <f t="shared" si="28"/>
        <v>0.48078474573071961</v>
      </c>
      <c r="G188" s="4">
        <f t="shared" si="29"/>
        <v>0.3050535348780205</v>
      </c>
      <c r="H188" s="4">
        <f t="shared" si="30"/>
        <v>0.21416171939125989</v>
      </c>
      <c r="I188" s="4">
        <f t="shared" si="31"/>
        <v>0.98032305110325335</v>
      </c>
      <c r="K188" s="4">
        <f t="shared" si="32"/>
        <v>1.0469283017716868</v>
      </c>
      <c r="L188" s="4">
        <f t="shared" si="33"/>
        <v>0.48812468623130262</v>
      </c>
      <c r="M188" s="4">
        <f t="shared" si="34"/>
        <v>0.31122870160627342</v>
      </c>
      <c r="N188" s="4">
        <f t="shared" si="35"/>
        <v>0.20064661216242391</v>
      </c>
      <c r="O188" s="4">
        <f t="shared" si="36"/>
        <v>0.91098109958163953</v>
      </c>
    </row>
    <row r="189" spans="2:15">
      <c r="B189" s="4">
        <f t="shared" si="37"/>
        <v>4</v>
      </c>
      <c r="C189" s="4">
        <f t="shared" si="38"/>
        <v>4</v>
      </c>
      <c r="D189" s="4">
        <f t="shared" si="40"/>
        <v>2010</v>
      </c>
      <c r="E189" s="4">
        <f t="shared" si="27"/>
        <v>1.0709849764209987</v>
      </c>
      <c r="F189" s="4">
        <f t="shared" si="28"/>
        <v>0.47244755992945731</v>
      </c>
      <c r="G189" s="4">
        <f t="shared" si="29"/>
        <v>0.30755257166826111</v>
      </c>
      <c r="H189" s="4">
        <f t="shared" si="30"/>
        <v>0.21999986840228158</v>
      </c>
      <c r="I189" s="4">
        <f t="shared" si="31"/>
        <v>0.97418388040351878</v>
      </c>
      <c r="K189" s="4">
        <f t="shared" si="32"/>
        <v>1.0709849764209987</v>
      </c>
      <c r="L189" s="4">
        <f t="shared" si="33"/>
        <v>0.47969281536099562</v>
      </c>
      <c r="M189" s="4">
        <f t="shared" si="34"/>
        <v>0.31223860290133543</v>
      </c>
      <c r="N189" s="4">
        <f t="shared" si="35"/>
        <v>0.20806858173766896</v>
      </c>
      <c r="O189" s="4">
        <f t="shared" si="36"/>
        <v>0.92037968350491728</v>
      </c>
    </row>
    <row r="190" spans="2:15">
      <c r="B190" s="4">
        <f t="shared" si="37"/>
        <v>4</v>
      </c>
      <c r="C190" s="4">
        <f t="shared" si="38"/>
        <v>5</v>
      </c>
      <c r="D190" s="4">
        <f t="shared" si="40"/>
        <v>2011</v>
      </c>
      <c r="E190" s="4">
        <f t="shared" si="27"/>
        <v>1.0952591400987475</v>
      </c>
      <c r="F190" s="4">
        <f t="shared" si="28"/>
        <v>0.46464678776518309</v>
      </c>
      <c r="G190" s="4">
        <f t="shared" si="29"/>
        <v>0.30978917517160587</v>
      </c>
      <c r="H190" s="4">
        <f t="shared" si="30"/>
        <v>0.22556403706321104</v>
      </c>
      <c r="I190" s="4">
        <f t="shared" si="31"/>
        <v>0.9691367552639657</v>
      </c>
      <c r="K190" s="4">
        <f t="shared" si="32"/>
        <v>1.0952591400987475</v>
      </c>
      <c r="L190" s="4">
        <f t="shared" si="33"/>
        <v>0.47151728041894347</v>
      </c>
      <c r="M190" s="4">
        <f t="shared" si="34"/>
        <v>0.31323810879327257</v>
      </c>
      <c r="N190" s="4">
        <f t="shared" si="35"/>
        <v>0.21524461078778395</v>
      </c>
      <c r="O190" s="4">
        <f t="shared" si="36"/>
        <v>0.92974664982892319</v>
      </c>
    </row>
    <row r="191" spans="2:15">
      <c r="B191" s="4">
        <f t="shared" si="37"/>
        <v>4</v>
      </c>
      <c r="C191" s="4">
        <f t="shared" si="38"/>
        <v>6</v>
      </c>
      <c r="D191" s="4">
        <f t="shared" si="40"/>
        <v>2012</v>
      </c>
      <c r="E191" s="4">
        <f t="shared" si="27"/>
        <v>1.1195228593368927</v>
      </c>
      <c r="F191" s="4">
        <f t="shared" si="28"/>
        <v>0.45786916657402071</v>
      </c>
      <c r="G191" s="4">
        <f t="shared" si="29"/>
        <v>0.3119719141862482</v>
      </c>
      <c r="H191" s="4">
        <f t="shared" si="30"/>
        <v>0.23015891923973114</v>
      </c>
      <c r="I191" s="4">
        <f t="shared" si="31"/>
        <v>0.96771772742986306</v>
      </c>
      <c r="K191" s="4">
        <f t="shared" si="32"/>
        <v>1.1195228593368927</v>
      </c>
      <c r="L191" s="4">
        <f t="shared" si="33"/>
        <v>0.46365909213968637</v>
      </c>
      <c r="M191" s="4">
        <f t="shared" si="34"/>
        <v>0.31421838068513458</v>
      </c>
      <c r="N191" s="4">
        <f t="shared" si="35"/>
        <v>0.22212252717517905</v>
      </c>
      <c r="O191" s="4">
        <f t="shared" si="36"/>
        <v>0.93899652906199693</v>
      </c>
    </row>
    <row r="192" spans="2:15">
      <c r="B192" s="4">
        <f t="shared" si="37"/>
        <v>4</v>
      </c>
      <c r="C192" s="4">
        <f t="shared" si="38"/>
        <v>7</v>
      </c>
      <c r="D192" s="4">
        <f t="shared" si="40"/>
        <v>2013</v>
      </c>
      <c r="E192" s="4">
        <f t="shared" si="27"/>
        <v>1.1433098086691986</v>
      </c>
      <c r="F192" s="4">
        <f t="shared" si="28"/>
        <v>0.45234998896205209</v>
      </c>
      <c r="G192" s="4">
        <f t="shared" si="29"/>
        <v>0.31392206870939343</v>
      </c>
      <c r="H192" s="4">
        <f t="shared" si="30"/>
        <v>0.23372794232855443</v>
      </c>
      <c r="I192" s="4">
        <f t="shared" si="31"/>
        <v>0.97002431025557478</v>
      </c>
      <c r="K192" s="4">
        <f t="shared" si="32"/>
        <v>1.1433098086691986</v>
      </c>
      <c r="L192" s="4">
        <f t="shared" si="33"/>
        <v>0.45624207254169186</v>
      </c>
      <c r="M192" s="4">
        <f t="shared" si="34"/>
        <v>0.31516186484443987</v>
      </c>
      <c r="N192" s="4">
        <f t="shared" si="35"/>
        <v>0.22859606261386833</v>
      </c>
      <c r="O192" s="4">
        <f t="shared" si="36"/>
        <v>0.94795856811116119</v>
      </c>
    </row>
    <row r="193" spans="2:15">
      <c r="B193" s="4">
        <f t="shared" si="37"/>
        <v>4</v>
      </c>
      <c r="C193" s="4">
        <f t="shared" si="38"/>
        <v>8</v>
      </c>
      <c r="D193" s="4">
        <f t="shared" si="40"/>
        <v>2014</v>
      </c>
      <c r="E193" s="4">
        <f t="shared" si="27"/>
        <v>1.1818831422603602</v>
      </c>
      <c r="F193" s="4">
        <f t="shared" si="28"/>
        <v>0.44318799780020285</v>
      </c>
      <c r="G193" s="4">
        <f t="shared" si="29"/>
        <v>0.31565184847856542</v>
      </c>
      <c r="H193" s="4">
        <f t="shared" si="30"/>
        <v>0.24116015372123167</v>
      </c>
      <c r="I193" s="4">
        <f t="shared" si="31"/>
        <v>0.97157057691632065</v>
      </c>
      <c r="K193" s="4">
        <f t="shared" si="32"/>
        <v>1.1818831422603602</v>
      </c>
      <c r="L193" s="4">
        <f t="shared" si="33"/>
        <v>0.44477707506115877</v>
      </c>
      <c r="M193" s="4">
        <f t="shared" si="34"/>
        <v>0.31665665106094992</v>
      </c>
      <c r="N193" s="4">
        <f t="shared" si="35"/>
        <v>0.23856627387789126</v>
      </c>
      <c r="O193" s="4">
        <f t="shared" si="36"/>
        <v>0.96227691969357521</v>
      </c>
    </row>
    <row r="194" spans="2:15">
      <c r="B194" s="4">
        <f t="shared" si="37"/>
        <v>4</v>
      </c>
      <c r="C194" s="4">
        <f t="shared" si="38"/>
        <v>9</v>
      </c>
      <c r="D194" s="4">
        <f t="shared" si="40"/>
        <v>2015</v>
      </c>
      <c r="E194" s="4">
        <f t="shared" si="27"/>
        <v>1.2228670998047384</v>
      </c>
      <c r="F194" s="4">
        <f t="shared" si="28"/>
        <v>0.43226639662635291</v>
      </c>
      <c r="G194" s="4">
        <f t="shared" si="29"/>
        <v>0.31817739057424893</v>
      </c>
      <c r="H194" s="4">
        <f t="shared" si="30"/>
        <v>0.24955621279939816</v>
      </c>
      <c r="I194" s="4">
        <f t="shared" si="31"/>
        <v>0.97464031299248832</v>
      </c>
      <c r="K194" s="4">
        <f t="shared" si="32"/>
        <v>1.2228670998047384</v>
      </c>
      <c r="L194" s="4">
        <f t="shared" si="33"/>
        <v>0.43329848665769172</v>
      </c>
      <c r="M194" s="4">
        <f t="shared" si="34"/>
        <v>0.31819970145425247</v>
      </c>
      <c r="N194" s="4">
        <f t="shared" si="35"/>
        <v>0.24850181188805587</v>
      </c>
      <c r="O194" s="4">
        <f t="shared" si="36"/>
        <v>0.97721211617825798</v>
      </c>
    </row>
    <row r="195" spans="2:15">
      <c r="B195" s="4">
        <f t="shared" si="37"/>
        <v>4</v>
      </c>
      <c r="C195" s="4">
        <f t="shared" si="38"/>
        <v>10</v>
      </c>
      <c r="D195" s="4">
        <f t="shared" si="40"/>
        <v>2016</v>
      </c>
      <c r="E195" s="4">
        <f t="shared" si="27"/>
        <v>1.2670058561932183</v>
      </c>
      <c r="F195" s="4">
        <f t="shared" si="28"/>
        <v>0.42089157184581016</v>
      </c>
      <c r="G195" s="4">
        <f t="shared" si="29"/>
        <v>0.32082020248460352</v>
      </c>
      <c r="H195" s="4">
        <f t="shared" si="30"/>
        <v>0.25828822566958631</v>
      </c>
      <c r="I195" s="4">
        <f t="shared" si="31"/>
        <v>0.97923802796807546</v>
      </c>
      <c r="K195" s="4">
        <f t="shared" si="32"/>
        <v>1.2670058561932183</v>
      </c>
      <c r="L195" s="4">
        <f t="shared" si="33"/>
        <v>0.42167306629716067</v>
      </c>
      <c r="M195" s="4">
        <f t="shared" si="34"/>
        <v>0.31981270800227757</v>
      </c>
      <c r="N195" s="4">
        <f t="shared" si="35"/>
        <v>0.25851422570056182</v>
      </c>
      <c r="O195" s="4">
        <f t="shared" si="36"/>
        <v>0.99299320010146042</v>
      </c>
    </row>
    <row r="196" spans="2:15">
      <c r="B196" s="4">
        <f t="shared" si="37"/>
        <v>4</v>
      </c>
      <c r="C196" s="4">
        <f t="shared" si="38"/>
        <v>11</v>
      </c>
      <c r="D196" s="4">
        <f t="shared" si="40"/>
        <v>2017</v>
      </c>
      <c r="E196" s="4">
        <f t="shared" si="27"/>
        <v>1.3134921234288375</v>
      </c>
      <c r="F196" s="4">
        <f t="shared" si="28"/>
        <v>0.40946065899672485</v>
      </c>
      <c r="G196" s="4">
        <f t="shared" si="29"/>
        <v>0.32345491059263126</v>
      </c>
      <c r="H196" s="4">
        <f t="shared" si="30"/>
        <v>0.26708443041064384</v>
      </c>
      <c r="I196" s="4">
        <f t="shared" si="31"/>
        <v>0.98442555461089165</v>
      </c>
      <c r="K196" s="4">
        <f t="shared" si="32"/>
        <v>1.3134921234288375</v>
      </c>
      <c r="L196" s="4">
        <f t="shared" si="33"/>
        <v>0.41017878434914579</v>
      </c>
      <c r="M196" s="4">
        <f t="shared" si="34"/>
        <v>0.32146022390628431</v>
      </c>
      <c r="N196" s="4">
        <f t="shared" si="35"/>
        <v>0.2683609917445699</v>
      </c>
      <c r="O196" s="4">
        <f t="shared" si="36"/>
        <v>1.0092910571726521</v>
      </c>
    </row>
    <row r="197" spans="2:15">
      <c r="B197" s="4">
        <f t="shared" si="37"/>
        <v>4</v>
      </c>
      <c r="C197" s="4">
        <f t="shared" si="38"/>
        <v>12</v>
      </c>
      <c r="D197" s="4">
        <f t="shared" si="40"/>
        <v>2018</v>
      </c>
      <c r="E197" s="4">
        <f t="shared" si="27"/>
        <v>1.3624917037493387</v>
      </c>
      <c r="F197" s="4">
        <f t="shared" si="28"/>
        <v>0.39878667686227492</v>
      </c>
      <c r="G197" s="4">
        <f t="shared" si="29"/>
        <v>0.32555588331619473</v>
      </c>
      <c r="H197" s="4">
        <f t="shared" si="30"/>
        <v>0.27565743982153029</v>
      </c>
      <c r="I197" s="4">
        <f t="shared" si="31"/>
        <v>0.99203470995369925</v>
      </c>
      <c r="K197" s="4">
        <f t="shared" si="32"/>
        <v>1.3624917037493387</v>
      </c>
      <c r="L197" s="4">
        <f t="shared" si="33"/>
        <v>0.39881638229895922</v>
      </c>
      <c r="M197" s="4">
        <f t="shared" si="34"/>
        <v>0.32314355212729967</v>
      </c>
      <c r="N197" s="4">
        <f t="shared" si="35"/>
        <v>0.27804006557374111</v>
      </c>
      <c r="O197" s="4">
        <f t="shared" si="36"/>
        <v>1.026131297213505</v>
      </c>
    </row>
    <row r="198" spans="2:15">
      <c r="B198" s="4">
        <f t="shared" si="37"/>
        <v>4</v>
      </c>
      <c r="C198" s="4">
        <f t="shared" si="38"/>
        <v>13</v>
      </c>
      <c r="D198" s="4">
        <f t="shared" si="40"/>
        <v>2019</v>
      </c>
      <c r="E198" s="4">
        <f t="shared" si="27"/>
        <v>1.4134037928653305</v>
      </c>
      <c r="F198" s="4">
        <f t="shared" si="28"/>
        <v>0.38823967337241827</v>
      </c>
      <c r="G198" s="4">
        <f t="shared" si="29"/>
        <v>0.32770541454793256</v>
      </c>
      <c r="H198" s="4">
        <f t="shared" si="30"/>
        <v>0.28405491207964917</v>
      </c>
      <c r="I198" s="4">
        <f t="shared" si="31"/>
        <v>1.0011697359854699</v>
      </c>
      <c r="K198" s="4">
        <f t="shared" si="32"/>
        <v>1.4134037928653305</v>
      </c>
      <c r="L198" s="4">
        <f t="shared" si="33"/>
        <v>0.38775093139101979</v>
      </c>
      <c r="M198" s="4">
        <f t="shared" si="34"/>
        <v>0.32483846742566391</v>
      </c>
      <c r="N198" s="4">
        <f t="shared" si="35"/>
        <v>0.28741060118331629</v>
      </c>
      <c r="O198" s="4">
        <f t="shared" si="36"/>
        <v>1.0432807300932958</v>
      </c>
    </row>
    <row r="199" spans="2:15">
      <c r="B199" s="4">
        <f t="shared" si="37"/>
        <v>4</v>
      </c>
      <c r="C199" s="4">
        <f t="shared" si="38"/>
        <v>14</v>
      </c>
      <c r="D199" s="4">
        <f t="shared" si="40"/>
        <v>2020</v>
      </c>
      <c r="E199" s="4">
        <f t="shared" si="27"/>
        <v>1.4590484827263202</v>
      </c>
      <c r="F199" s="4">
        <f t="shared" si="28"/>
        <v>0.379311190801503</v>
      </c>
      <c r="G199" s="4">
        <f t="shared" si="29"/>
        <v>0.32982856814161277</v>
      </c>
      <c r="H199" s="4">
        <f t="shared" si="30"/>
        <v>0.29086024105688424</v>
      </c>
      <c r="I199" s="4">
        <f t="shared" si="31"/>
        <v>1.0108459576492683</v>
      </c>
      <c r="K199" s="4">
        <f t="shared" si="32"/>
        <v>1.4590484827263202</v>
      </c>
      <c r="L199" s="4">
        <f t="shared" si="33"/>
        <v>0.37841259898042534</v>
      </c>
      <c r="M199" s="4">
        <f t="shared" si="34"/>
        <v>0.32631409081436474</v>
      </c>
      <c r="N199" s="4">
        <f t="shared" si="35"/>
        <v>0.29527331020520992</v>
      </c>
      <c r="O199" s="4">
        <f t="shared" si="36"/>
        <v>1.0583701776682786</v>
      </c>
    </row>
    <row r="200" spans="2:15">
      <c r="B200" s="4">
        <f t="shared" si="37"/>
        <v>4</v>
      </c>
      <c r="C200" s="4">
        <f t="shared" si="38"/>
        <v>15</v>
      </c>
      <c r="D200" s="4">
        <f t="shared" si="40"/>
        <v>2021</v>
      </c>
      <c r="E200" s="4">
        <f t="shared" si="27"/>
        <v>1.5056347170576587</v>
      </c>
      <c r="F200" s="4">
        <f t="shared" si="28"/>
        <v>0.37111151552973287</v>
      </c>
      <c r="G200" s="4">
        <f t="shared" si="29"/>
        <v>0.33161961439323651</v>
      </c>
      <c r="H200" s="4">
        <f t="shared" si="30"/>
        <v>0.29726887007703062</v>
      </c>
      <c r="I200" s="4">
        <f t="shared" si="31"/>
        <v>1.0214990636808057</v>
      </c>
      <c r="K200" s="4">
        <f t="shared" si="32"/>
        <v>1.5056347170576587</v>
      </c>
      <c r="L200" s="4">
        <f t="shared" si="33"/>
        <v>0.36939934121115658</v>
      </c>
      <c r="M200" s="4">
        <f t="shared" si="34"/>
        <v>0.32777988844052014</v>
      </c>
      <c r="N200" s="4">
        <f t="shared" si="35"/>
        <v>0.30282077034832328</v>
      </c>
      <c r="O200" s="4">
        <f t="shared" si="36"/>
        <v>1.0735063491972339</v>
      </c>
    </row>
    <row r="201" spans="2:15">
      <c r="B201" s="4">
        <f t="shared" si="37"/>
        <v>4</v>
      </c>
      <c r="C201" s="4">
        <f t="shared" si="38"/>
        <v>16</v>
      </c>
      <c r="D201" s="4">
        <f t="shared" si="40"/>
        <v>2022</v>
      </c>
      <c r="E201" s="4">
        <f t="shared" si="27"/>
        <v>1.5540652138404158</v>
      </c>
      <c r="F201" s="4">
        <f t="shared" si="28"/>
        <v>0.3631351075615708</v>
      </c>
      <c r="G201" s="4">
        <f t="shared" si="29"/>
        <v>0.33332758691525921</v>
      </c>
      <c r="H201" s="4">
        <f t="shared" si="30"/>
        <v>0.30353730552317004</v>
      </c>
      <c r="I201" s="4">
        <f t="shared" si="31"/>
        <v>1.0330992698973185</v>
      </c>
      <c r="K201" s="4">
        <f t="shared" si="32"/>
        <v>1.5540652138404158</v>
      </c>
      <c r="L201" s="4">
        <f t="shared" si="33"/>
        <v>0.3605372640249086</v>
      </c>
      <c r="M201" s="4">
        <f t="shared" si="34"/>
        <v>0.32926305150540403</v>
      </c>
      <c r="N201" s="4">
        <f t="shared" si="35"/>
        <v>0.31019968446968738</v>
      </c>
      <c r="O201" s="4">
        <f t="shared" si="36"/>
        <v>1.0889719551897854</v>
      </c>
    </row>
    <row r="202" spans="2:15">
      <c r="B202" s="4">
        <f t="shared" si="37"/>
        <v>4</v>
      </c>
      <c r="C202" s="4">
        <f t="shared" si="38"/>
        <v>17</v>
      </c>
      <c r="D202" s="4">
        <f t="shared" si="40"/>
        <v>2023</v>
      </c>
      <c r="E202" s="4">
        <f t="shared" si="27"/>
        <v>1.6035593126341641</v>
      </c>
      <c r="F202" s="4">
        <f t="shared" si="28"/>
        <v>0.35533143375549059</v>
      </c>
      <c r="G202" s="4">
        <f t="shared" si="29"/>
        <v>0.33502095422103706</v>
      </c>
      <c r="H202" s="4">
        <f t="shared" si="30"/>
        <v>0.30964761202347235</v>
      </c>
      <c r="I202" s="4">
        <f t="shared" si="31"/>
        <v>1.0456906139862374</v>
      </c>
      <c r="K202" s="4">
        <f t="shared" si="32"/>
        <v>1.6035593126341641</v>
      </c>
      <c r="L202" s="4">
        <f t="shared" si="33"/>
        <v>0.35197097285894352</v>
      </c>
      <c r="M202" s="4">
        <f t="shared" si="34"/>
        <v>0.33073839176059111</v>
      </c>
      <c r="N202" s="4">
        <f t="shared" si="35"/>
        <v>0.31729063538046537</v>
      </c>
      <c r="O202" s="4">
        <f t="shared" si="36"/>
        <v>1.1045065832648735</v>
      </c>
    </row>
    <row r="203" spans="2:15">
      <c r="B203" s="4">
        <f t="shared" si="37"/>
        <v>4</v>
      </c>
      <c r="C203" s="4">
        <f t="shared" si="38"/>
        <v>18</v>
      </c>
      <c r="D203" s="4">
        <f t="shared" si="40"/>
        <v>2024</v>
      </c>
      <c r="E203" s="4">
        <f t="shared" si="27"/>
        <v>1.6526079427024791</v>
      </c>
      <c r="F203" s="4">
        <f t="shared" si="28"/>
        <v>0.34794240617026329</v>
      </c>
      <c r="G203" s="4">
        <f t="shared" si="29"/>
        <v>0.33668122900763681</v>
      </c>
      <c r="H203" s="4">
        <f t="shared" si="30"/>
        <v>0.31537636482209991</v>
      </c>
      <c r="I203" s="4">
        <f t="shared" si="31"/>
        <v>1.0586403716303299</v>
      </c>
      <c r="K203" s="4">
        <f t="shared" si="32"/>
        <v>1.6526079427024791</v>
      </c>
      <c r="L203" s="4">
        <f t="shared" si="33"/>
        <v>0.34393058727775566</v>
      </c>
      <c r="M203" s="4">
        <f t="shared" si="34"/>
        <v>0.33216242602905766</v>
      </c>
      <c r="N203" s="4">
        <f t="shared" si="35"/>
        <v>0.32390698669318674</v>
      </c>
      <c r="O203" s="4">
        <f t="shared" si="36"/>
        <v>1.1196441743782175</v>
      </c>
    </row>
    <row r="204" spans="2:15">
      <c r="B204" s="4">
        <f t="shared" si="37"/>
        <v>4</v>
      </c>
      <c r="C204" s="4">
        <f t="shared" si="38"/>
        <v>19</v>
      </c>
      <c r="D204" s="4">
        <f t="shared" si="40"/>
        <v>2025</v>
      </c>
      <c r="E204" s="4">
        <f t="shared" si="27"/>
        <v>1.703496549978639</v>
      </c>
      <c r="F204" s="4">
        <f t="shared" si="28"/>
        <v>0.34075510524708541</v>
      </c>
      <c r="G204" s="4">
        <f t="shared" si="29"/>
        <v>0.33824711510706257</v>
      </c>
      <c r="H204" s="4">
        <f t="shared" si="30"/>
        <v>0.32099777964585202</v>
      </c>
      <c r="I204" s="4">
        <f t="shared" si="31"/>
        <v>1.0720828400842508</v>
      </c>
      <c r="K204" s="4">
        <f t="shared" si="32"/>
        <v>1.703496549978639</v>
      </c>
      <c r="L204" s="4">
        <f t="shared" si="33"/>
        <v>0.33602247020168441</v>
      </c>
      <c r="M204" s="4">
        <f t="shared" si="34"/>
        <v>0.33360207915340606</v>
      </c>
      <c r="N204" s="4">
        <f t="shared" si="35"/>
        <v>0.33037545064490953</v>
      </c>
      <c r="O204" s="4">
        <f t="shared" si="36"/>
        <v>1.1350915051839476</v>
      </c>
    </row>
    <row r="205" spans="2:15">
      <c r="B205" s="4">
        <f t="shared" si="37"/>
        <v>4</v>
      </c>
      <c r="C205" s="4">
        <f t="shared" si="38"/>
        <v>20</v>
      </c>
      <c r="D205" s="4">
        <f t="shared" si="40"/>
        <v>2026</v>
      </c>
      <c r="E205" s="4">
        <f t="shared" si="27"/>
        <v>1.7556019555439424</v>
      </c>
      <c r="F205" s="4">
        <f t="shared" si="28"/>
        <v>0.33384394655625638</v>
      </c>
      <c r="G205" s="4">
        <f t="shared" si="29"/>
        <v>0.33979137344445287</v>
      </c>
      <c r="H205" s="4">
        <f t="shared" si="30"/>
        <v>0.32636467999929075</v>
      </c>
      <c r="I205" s="4">
        <f t="shared" si="31"/>
        <v>1.0866693102883231</v>
      </c>
      <c r="K205" s="4">
        <f t="shared" si="32"/>
        <v>1.7556019555439424</v>
      </c>
      <c r="L205" s="4">
        <f t="shared" si="33"/>
        <v>0.3283464161380828</v>
      </c>
      <c r="M205" s="4">
        <f t="shared" si="34"/>
        <v>0.33503844229311858</v>
      </c>
      <c r="N205" s="4">
        <f t="shared" si="35"/>
        <v>0.33661514156879863</v>
      </c>
      <c r="O205" s="4">
        <f t="shared" si="36"/>
        <v>1.1506482599697896</v>
      </c>
    </row>
    <row r="206" spans="2:15">
      <c r="B206" s="4">
        <f t="shared" si="37"/>
        <v>4</v>
      </c>
      <c r="C206" s="4">
        <f t="shared" si="38"/>
        <v>21</v>
      </c>
      <c r="D206" s="4">
        <f t="shared" si="40"/>
        <v>2027</v>
      </c>
      <c r="E206" s="4">
        <f t="shared" si="27"/>
        <v>1.8086370690538436</v>
      </c>
      <c r="F206" s="4">
        <f t="shared" si="28"/>
        <v>0.32714147539903926</v>
      </c>
      <c r="G206" s="4">
        <f t="shared" si="29"/>
        <v>0.34127533895993278</v>
      </c>
      <c r="H206" s="4">
        <f t="shared" si="30"/>
        <v>0.33158318564102796</v>
      </c>
      <c r="I206" s="4">
        <f t="shared" si="31"/>
        <v>1.1021296812824375</v>
      </c>
      <c r="K206" s="4">
        <f t="shared" si="32"/>
        <v>1.8086370690538436</v>
      </c>
      <c r="L206" s="4">
        <f t="shared" si="33"/>
        <v>0.32093606263332719</v>
      </c>
      <c r="M206" s="4">
        <f t="shared" si="34"/>
        <v>0.33646337647251728</v>
      </c>
      <c r="N206" s="4">
        <f t="shared" si="35"/>
        <v>0.34260056089415553</v>
      </c>
      <c r="O206" s="4">
        <f t="shared" si="36"/>
        <v>1.1662247878753487</v>
      </c>
    </row>
    <row r="207" spans="2:15">
      <c r="B207" s="4">
        <f t="shared" si="37"/>
        <v>4</v>
      </c>
      <c r="C207" s="4">
        <f t="shared" si="38"/>
        <v>22</v>
      </c>
      <c r="D207" s="4">
        <f t="shared" si="40"/>
        <v>2028</v>
      </c>
      <c r="E207" s="4">
        <f t="shared" si="27"/>
        <v>1.8639164754599358</v>
      </c>
      <c r="F207" s="4">
        <f t="shared" si="28"/>
        <v>0.32065373440090411</v>
      </c>
      <c r="G207" s="4">
        <f t="shared" si="29"/>
        <v>0.34271076786069382</v>
      </c>
      <c r="H207" s="4">
        <f t="shared" si="30"/>
        <v>0.33663549773840201</v>
      </c>
      <c r="I207" s="4">
        <f t="shared" si="31"/>
        <v>1.1185301064210857</v>
      </c>
      <c r="K207" s="4">
        <f t="shared" si="32"/>
        <v>1.8639164754599358</v>
      </c>
      <c r="L207" s="4">
        <f t="shared" si="33"/>
        <v>0.31361005621171645</v>
      </c>
      <c r="M207" s="4">
        <f t="shared" si="34"/>
        <v>0.3379109743533244</v>
      </c>
      <c r="N207" s="4">
        <f t="shared" si="35"/>
        <v>0.34847896943495915</v>
      </c>
      <c r="O207" s="4">
        <f t="shared" si="36"/>
        <v>1.1821962075405554</v>
      </c>
    </row>
    <row r="208" spans="2:15">
      <c r="B208" s="4">
        <f t="shared" si="37"/>
        <v>4</v>
      </c>
      <c r="C208" s="4">
        <f t="shared" si="38"/>
        <v>23</v>
      </c>
      <c r="D208" s="4">
        <f t="shared" si="40"/>
        <v>2029</v>
      </c>
      <c r="E208" s="4">
        <f t="shared" si="27"/>
        <v>1.9069678719632217</v>
      </c>
      <c r="F208" s="4">
        <f t="shared" si="28"/>
        <v>0.31548675475514287</v>
      </c>
      <c r="G208" s="4">
        <f t="shared" si="29"/>
        <v>0.34410779352123205</v>
      </c>
      <c r="H208" s="4">
        <f t="shared" si="30"/>
        <v>0.34040545172362507</v>
      </c>
      <c r="I208" s="4">
        <f t="shared" si="31"/>
        <v>1.1305635820242204</v>
      </c>
      <c r="K208" s="4">
        <f t="shared" si="32"/>
        <v>1.9069678719632217</v>
      </c>
      <c r="L208" s="4">
        <f t="shared" si="33"/>
        <v>0.30816527228964491</v>
      </c>
      <c r="M208" s="4">
        <f t="shared" si="34"/>
        <v>0.33901307685371868</v>
      </c>
      <c r="N208" s="4">
        <f t="shared" si="35"/>
        <v>0.35282165085663647</v>
      </c>
      <c r="O208" s="4">
        <f t="shared" si="36"/>
        <v>1.1944556535489868</v>
      </c>
    </row>
    <row r="209" spans="2:15">
      <c r="B209" s="4">
        <f t="shared" si="37"/>
        <v>4</v>
      </c>
      <c r="C209" s="4">
        <f t="shared" si="38"/>
        <v>24</v>
      </c>
      <c r="D209" s="4">
        <f t="shared" si="40"/>
        <v>2030</v>
      </c>
      <c r="E209" s="4">
        <f t="shared" si="27"/>
        <v>1.9511308045864324</v>
      </c>
      <c r="F209" s="4">
        <f t="shared" si="28"/>
        <v>0.31087465573282314</v>
      </c>
      <c r="G209" s="4">
        <f t="shared" si="29"/>
        <v>0.34519165673767083</v>
      </c>
      <c r="H209" s="4">
        <f t="shared" si="30"/>
        <v>0.34393368752950604</v>
      </c>
      <c r="I209" s="4">
        <f t="shared" si="31"/>
        <v>1.1417023207150345</v>
      </c>
      <c r="K209" s="4">
        <f t="shared" si="32"/>
        <v>1.9511308045864324</v>
      </c>
      <c r="L209" s="4">
        <f t="shared" si="33"/>
        <v>0.30280107139352863</v>
      </c>
      <c r="M209" s="4">
        <f t="shared" si="34"/>
        <v>0.34012168647796126</v>
      </c>
      <c r="N209" s="4">
        <f t="shared" si="35"/>
        <v>0.35707724212851011</v>
      </c>
      <c r="O209" s="4">
        <f t="shared" si="36"/>
        <v>1.20687497470395</v>
      </c>
    </row>
    <row r="210" spans="2:15">
      <c r="B210" s="4">
        <f t="shared" si="37"/>
        <v>4</v>
      </c>
      <c r="C210" s="4">
        <f t="shared" si="38"/>
        <v>25</v>
      </c>
      <c r="D210" s="4">
        <f t="shared" si="40"/>
        <v>2031</v>
      </c>
      <c r="E210" s="4">
        <f t="shared" si="27"/>
        <v>1.9970109580760536</v>
      </c>
      <c r="F210" s="4">
        <f t="shared" si="28"/>
        <v>0.30631166545204341</v>
      </c>
      <c r="G210" s="4">
        <f t="shared" si="29"/>
        <v>0.34620267759039403</v>
      </c>
      <c r="H210" s="4">
        <f t="shared" si="30"/>
        <v>0.34748565695756251</v>
      </c>
      <c r="I210" s="4">
        <f t="shared" si="31"/>
        <v>1.1523318622949905</v>
      </c>
      <c r="K210" s="4">
        <f t="shared" si="32"/>
        <v>1.9970109580760536</v>
      </c>
      <c r="L210" s="4">
        <f t="shared" si="33"/>
        <v>0.29745088245347567</v>
      </c>
      <c r="M210" s="4">
        <f t="shared" si="34"/>
        <v>0.34125084632109537</v>
      </c>
      <c r="N210" s="4">
        <f t="shared" si="35"/>
        <v>0.36129827122542901</v>
      </c>
      <c r="O210" s="4">
        <f t="shared" si="36"/>
        <v>1.219615062551143</v>
      </c>
    </row>
    <row r="211" spans="2:15">
      <c r="B211" s="4">
        <f t="shared" si="37"/>
        <v>4</v>
      </c>
      <c r="C211" s="4">
        <f t="shared" si="38"/>
        <v>26</v>
      </c>
      <c r="D211" s="4">
        <f t="shared" si="40"/>
        <v>2032</v>
      </c>
      <c r="E211" s="4">
        <f t="shared" si="27"/>
        <v>2.0439955686667526</v>
      </c>
      <c r="F211" s="4">
        <f t="shared" si="28"/>
        <v>0.30186956916725527</v>
      </c>
      <c r="G211" s="4">
        <f t="shared" si="29"/>
        <v>0.34721288022722469</v>
      </c>
      <c r="H211" s="4">
        <f t="shared" si="30"/>
        <v>0.35091755060552005</v>
      </c>
      <c r="I211" s="4">
        <f t="shared" si="31"/>
        <v>1.1630946697135571</v>
      </c>
      <c r="K211" s="4">
        <f t="shared" si="32"/>
        <v>2.0439955686667526</v>
      </c>
      <c r="L211" s="4">
        <f t="shared" si="33"/>
        <v>0.29219241887172565</v>
      </c>
      <c r="M211" s="4">
        <f t="shared" si="34"/>
        <v>0.34238436636214548</v>
      </c>
      <c r="N211" s="4">
        <f t="shared" si="35"/>
        <v>0.36542321476612888</v>
      </c>
      <c r="O211" s="4">
        <f t="shared" si="36"/>
        <v>1.2324966126788783</v>
      </c>
    </row>
    <row r="212" spans="2:15">
      <c r="B212" s="4">
        <f t="shared" si="37"/>
        <v>4</v>
      </c>
      <c r="C212" s="4">
        <f t="shared" si="38"/>
        <v>27</v>
      </c>
      <c r="D212" s="4">
        <f t="shared" si="40"/>
        <v>2033</v>
      </c>
      <c r="E212" s="4">
        <f t="shared" si="27"/>
        <v>2.0910587175524333</v>
      </c>
      <c r="F212" s="4">
        <f t="shared" si="28"/>
        <v>0.2976304906666048</v>
      </c>
      <c r="G212" s="4">
        <f t="shared" si="29"/>
        <v>0.34820451554417042</v>
      </c>
      <c r="H212" s="4">
        <f t="shared" si="30"/>
        <v>0.35416499378922484</v>
      </c>
      <c r="I212" s="4">
        <f t="shared" si="31"/>
        <v>1.1742668590771146</v>
      </c>
      <c r="K212" s="4">
        <f t="shared" si="32"/>
        <v>2.0910587175524333</v>
      </c>
      <c r="L212" s="4">
        <f t="shared" si="33"/>
        <v>0.28713502297645338</v>
      </c>
      <c r="M212" s="4">
        <f t="shared" si="34"/>
        <v>0.34349760186768435</v>
      </c>
      <c r="N212" s="4">
        <f t="shared" si="35"/>
        <v>0.36936737515586232</v>
      </c>
      <c r="O212" s="4">
        <f t="shared" si="36"/>
        <v>1.2452379701552541</v>
      </c>
    </row>
    <row r="213" spans="2:15">
      <c r="B213" s="4">
        <f t="shared" si="37"/>
        <v>4</v>
      </c>
      <c r="C213" s="4">
        <f t="shared" si="38"/>
        <v>28</v>
      </c>
      <c r="D213" s="4">
        <f t="shared" si="40"/>
        <v>2034</v>
      </c>
      <c r="E213" s="4">
        <f t="shared" ref="E213:E253" si="41">INDEX($E$43:$I$76,$C213,$B213)/$E$43</f>
        <v>2.134823498058577</v>
      </c>
      <c r="F213" s="4">
        <f t="shared" ref="F213:F253" si="42">INDEX($P$46:$T$79,$C213,$B213)</f>
        <v>0.2940398168697736</v>
      </c>
      <c r="G213" s="4">
        <f t="shared" ref="G213:G253" si="43">INDEX($W$46:$AA$79,$C213,$B213)</f>
        <v>0.3491517421735737</v>
      </c>
      <c r="H213" s="4">
        <f t="shared" ref="H213:H253" si="44">1-F213-G213</f>
        <v>0.35680844095665276</v>
      </c>
      <c r="I213" s="4">
        <f t="shared" ref="I213:I253" si="45">INDEX($AD$46:$AH$79,$C213,$B213)/$AD$46</f>
        <v>1.1839202842366028</v>
      </c>
      <c r="K213" s="4">
        <f t="shared" ref="K213:K253" si="46">E213</f>
        <v>2.134823498058577</v>
      </c>
      <c r="L213" s="4">
        <f t="shared" ref="L213:L253" si="47">0.5056*($K213^(-0.767))</f>
        <v>0.28260928797829649</v>
      </c>
      <c r="M213" s="4">
        <f t="shared" ref="M213:M253" si="48">0.3092*$K213^(0.1426)</f>
        <v>0.34451370474002446</v>
      </c>
      <c r="N213" s="4">
        <f t="shared" ref="N213:N253" si="49">1-L213-M213</f>
        <v>0.37287700728167911</v>
      </c>
      <c r="O213" s="4">
        <f t="shared" ref="O213:O253" si="50">0.8923*(K213^0.4518)</f>
        <v>1.256946037042882</v>
      </c>
    </row>
    <row r="214" spans="2:15">
      <c r="B214" s="4">
        <f t="shared" ref="B214:B253" si="51">IF(D213=2040,B213+1,B213)</f>
        <v>4</v>
      </c>
      <c r="C214" s="4">
        <f t="shared" ref="C214:C253" si="52">IF(D213=2040,1,C213+1)</f>
        <v>29</v>
      </c>
      <c r="D214" s="4">
        <f t="shared" si="40"/>
        <v>2035</v>
      </c>
      <c r="E214" s="4">
        <f t="shared" si="41"/>
        <v>2.1791523508977808</v>
      </c>
      <c r="F214" s="4">
        <f t="shared" si="42"/>
        <v>0.29079433257913234</v>
      </c>
      <c r="G214" s="4">
        <f t="shared" si="43"/>
        <v>0.34996411937000932</v>
      </c>
      <c r="H214" s="4">
        <f t="shared" si="44"/>
        <v>0.35924154805085834</v>
      </c>
      <c r="I214" s="4">
        <f t="shared" si="45"/>
        <v>1.1936427176318043</v>
      </c>
      <c r="K214" s="4">
        <f t="shared" si="46"/>
        <v>2.1791523508977808</v>
      </c>
      <c r="L214" s="4">
        <f t="shared" si="47"/>
        <v>0.27818933772697335</v>
      </c>
      <c r="M214" s="4">
        <f t="shared" si="48"/>
        <v>0.34552485720627085</v>
      </c>
      <c r="N214" s="4">
        <f t="shared" si="49"/>
        <v>0.37628580506675585</v>
      </c>
      <c r="O214" s="4">
        <f t="shared" si="50"/>
        <v>1.2686716291448878</v>
      </c>
    </row>
    <row r="215" spans="2:15">
      <c r="B215" s="4">
        <f t="shared" si="51"/>
        <v>4</v>
      </c>
      <c r="C215" s="4">
        <f t="shared" si="52"/>
        <v>30</v>
      </c>
      <c r="D215" s="4">
        <f t="shared" si="40"/>
        <v>2036</v>
      </c>
      <c r="E215" s="4">
        <f t="shared" si="41"/>
        <v>2.2245901395524856</v>
      </c>
      <c r="F215" s="4">
        <f t="shared" si="42"/>
        <v>0.28750706615645766</v>
      </c>
      <c r="G215" s="4">
        <f t="shared" si="43"/>
        <v>0.35073004119578849</v>
      </c>
      <c r="H215" s="4">
        <f t="shared" si="44"/>
        <v>0.36176289264775391</v>
      </c>
      <c r="I215" s="4">
        <f t="shared" si="45"/>
        <v>1.2027796962642436</v>
      </c>
      <c r="K215" s="4">
        <f t="shared" si="46"/>
        <v>2.2245901395524856</v>
      </c>
      <c r="L215" s="4">
        <f t="shared" si="47"/>
        <v>0.27382072071915459</v>
      </c>
      <c r="M215" s="4">
        <f t="shared" si="48"/>
        <v>0.34654316408683583</v>
      </c>
      <c r="N215" s="4">
        <f t="shared" si="49"/>
        <v>0.37963611519400964</v>
      </c>
      <c r="O215" s="4">
        <f t="shared" si="50"/>
        <v>1.2805556202118853</v>
      </c>
    </row>
    <row r="216" spans="2:15">
      <c r="B216" s="4">
        <f t="shared" si="51"/>
        <v>4</v>
      </c>
      <c r="C216" s="4">
        <f t="shared" si="52"/>
        <v>31</v>
      </c>
      <c r="D216" s="4">
        <f>D215+1</f>
        <v>2037</v>
      </c>
      <c r="E216" s="4">
        <f t="shared" si="41"/>
        <v>2.2681993011873383</v>
      </c>
      <c r="F216" s="4">
        <f t="shared" si="42"/>
        <v>0.28437631631600407</v>
      </c>
      <c r="G216" s="4">
        <f t="shared" si="43"/>
        <v>0.3515506003631011</v>
      </c>
      <c r="H216" s="4">
        <f t="shared" si="44"/>
        <v>0.36407308332089489</v>
      </c>
      <c r="I216" s="4">
        <f t="shared" si="45"/>
        <v>1.2122685279558849</v>
      </c>
      <c r="K216" s="4">
        <f t="shared" si="46"/>
        <v>2.2681993011873383</v>
      </c>
      <c r="L216" s="4">
        <f t="shared" si="47"/>
        <v>0.26977367951606174</v>
      </c>
      <c r="M216" s="4">
        <f t="shared" si="48"/>
        <v>0.3475038544915528</v>
      </c>
      <c r="N216" s="4">
        <f t="shared" si="49"/>
        <v>0.38272246599238552</v>
      </c>
      <c r="O216" s="4">
        <f t="shared" si="50"/>
        <v>1.2918368379582841</v>
      </c>
    </row>
    <row r="217" spans="2:15">
      <c r="B217" s="4">
        <f t="shared" si="51"/>
        <v>4</v>
      </c>
      <c r="C217" s="4">
        <f t="shared" si="52"/>
        <v>32</v>
      </c>
      <c r="D217" s="4">
        <f>D216+1</f>
        <v>2038</v>
      </c>
      <c r="E217" s="4">
        <f t="shared" si="41"/>
        <v>2.3131251901834715</v>
      </c>
      <c r="F217" s="4">
        <f t="shared" si="42"/>
        <v>0.28132504627928279</v>
      </c>
      <c r="G217" s="4">
        <f t="shared" si="43"/>
        <v>0.35229387853159067</v>
      </c>
      <c r="H217" s="4">
        <f t="shared" si="44"/>
        <v>0.36638107518912655</v>
      </c>
      <c r="I217" s="4">
        <f t="shared" si="45"/>
        <v>1.2215297149146214</v>
      </c>
      <c r="K217" s="4">
        <f t="shared" si="46"/>
        <v>2.3131251901834715</v>
      </c>
      <c r="L217" s="4">
        <f t="shared" si="47"/>
        <v>0.26574574915519766</v>
      </c>
      <c r="M217" s="4">
        <f t="shared" si="48"/>
        <v>0.34847713082895176</v>
      </c>
      <c r="N217" s="4">
        <f t="shared" si="49"/>
        <v>0.38577712001585057</v>
      </c>
      <c r="O217" s="4">
        <f t="shared" si="50"/>
        <v>1.3033350166887154</v>
      </c>
    </row>
    <row r="218" spans="2:15">
      <c r="B218" s="4">
        <f t="shared" si="51"/>
        <v>4</v>
      </c>
      <c r="C218" s="4">
        <f t="shared" si="52"/>
        <v>33</v>
      </c>
      <c r="D218" s="4">
        <f>D217+1</f>
        <v>2039</v>
      </c>
      <c r="E218" s="4">
        <f t="shared" si="41"/>
        <v>2.3587491732563248</v>
      </c>
      <c r="F218" s="4">
        <f t="shared" si="42"/>
        <v>0.27829123071638029</v>
      </c>
      <c r="G218" s="4">
        <f t="shared" si="43"/>
        <v>0.35303843236241333</v>
      </c>
      <c r="H218" s="4">
        <f t="shared" si="44"/>
        <v>0.36867033692120638</v>
      </c>
      <c r="I218" s="4">
        <f t="shared" si="45"/>
        <v>1.2305980976685189</v>
      </c>
      <c r="K218" s="4">
        <f t="shared" si="46"/>
        <v>2.3587491732563248</v>
      </c>
      <c r="L218" s="4">
        <f t="shared" si="47"/>
        <v>0.2617942807834942</v>
      </c>
      <c r="M218" s="4">
        <f t="shared" si="48"/>
        <v>0.34944908234998479</v>
      </c>
      <c r="N218" s="4">
        <f t="shared" si="49"/>
        <v>0.38875663686652101</v>
      </c>
      <c r="O218" s="4">
        <f t="shared" si="50"/>
        <v>1.3148872451296372</v>
      </c>
    </row>
    <row r="219" spans="2:15">
      <c r="B219" s="4">
        <f t="shared" si="51"/>
        <v>4</v>
      </c>
      <c r="C219" s="4">
        <f t="shared" si="52"/>
        <v>34</v>
      </c>
      <c r="D219" s="4">
        <f>D218+1</f>
        <v>2040</v>
      </c>
      <c r="E219" s="4">
        <f t="shared" si="41"/>
        <v>2.404236673651365</v>
      </c>
      <c r="F219" s="4">
        <f t="shared" si="42"/>
        <v>0.27541354212455282</v>
      </c>
      <c r="G219" s="4">
        <f t="shared" si="43"/>
        <v>0.35379548979437919</v>
      </c>
      <c r="H219" s="4">
        <f t="shared" si="44"/>
        <v>0.37079096808106798</v>
      </c>
      <c r="I219" s="4">
        <f t="shared" si="45"/>
        <v>1.2399437538061409</v>
      </c>
      <c r="K219" s="4">
        <f t="shared" si="46"/>
        <v>2.404236673651365</v>
      </c>
      <c r="L219" s="4">
        <f t="shared" si="47"/>
        <v>0.25798683194821964</v>
      </c>
      <c r="M219" s="4">
        <f t="shared" si="48"/>
        <v>0.35040220987421261</v>
      </c>
      <c r="N219" s="4">
        <f t="shared" si="49"/>
        <v>0.39161095817756769</v>
      </c>
      <c r="O219" s="4">
        <f t="shared" si="50"/>
        <v>1.3262836012392281</v>
      </c>
    </row>
    <row r="220" spans="2:15">
      <c r="B220" s="4">
        <f t="shared" si="51"/>
        <v>5</v>
      </c>
      <c r="C220" s="4">
        <f t="shared" si="52"/>
        <v>1</v>
      </c>
      <c r="D220" s="4">
        <v>2007</v>
      </c>
      <c r="E220" s="4">
        <f t="shared" si="41"/>
        <v>1</v>
      </c>
      <c r="F220" s="4">
        <f t="shared" si="42"/>
        <v>0.50003199863472492</v>
      </c>
      <c r="G220" s="4">
        <f t="shared" si="43"/>
        <v>0.30001919918083497</v>
      </c>
      <c r="H220" s="4">
        <f t="shared" si="44"/>
        <v>0.19994880218444011</v>
      </c>
      <c r="I220" s="4">
        <f t="shared" si="45"/>
        <v>1</v>
      </c>
      <c r="K220" s="4">
        <f t="shared" si="46"/>
        <v>1</v>
      </c>
      <c r="L220" s="4">
        <f t="shared" si="47"/>
        <v>0.50560000000000005</v>
      </c>
      <c r="M220" s="4">
        <f t="shared" si="48"/>
        <v>0.30919999999999997</v>
      </c>
      <c r="N220" s="4">
        <f t="shared" si="49"/>
        <v>0.18519999999999998</v>
      </c>
      <c r="O220" s="4">
        <f t="shared" si="50"/>
        <v>0.89229999999999998</v>
      </c>
    </row>
    <row r="221" spans="2:15">
      <c r="B221" s="4">
        <f t="shared" si="51"/>
        <v>5</v>
      </c>
      <c r="C221" s="4">
        <f t="shared" si="52"/>
        <v>2</v>
      </c>
      <c r="D221" s="4">
        <f>D220+1</f>
        <v>2008</v>
      </c>
      <c r="E221" s="4">
        <f t="shared" si="41"/>
        <v>1.0234673412940167</v>
      </c>
      <c r="F221" s="4">
        <f t="shared" si="42"/>
        <v>0.49083032031743451</v>
      </c>
      <c r="G221" s="4">
        <f t="shared" si="43"/>
        <v>0.30251431960863068</v>
      </c>
      <c r="H221" s="4">
        <f t="shared" si="44"/>
        <v>0.20665536007393487</v>
      </c>
      <c r="I221" s="4">
        <f t="shared" si="45"/>
        <v>0.99317536787775385</v>
      </c>
      <c r="K221" s="4">
        <f t="shared" si="46"/>
        <v>1.0234673412940167</v>
      </c>
      <c r="L221" s="4">
        <f t="shared" si="47"/>
        <v>0.49668416667966098</v>
      </c>
      <c r="M221" s="4">
        <f t="shared" si="48"/>
        <v>0.31022445914268243</v>
      </c>
      <c r="N221" s="4">
        <f t="shared" si="49"/>
        <v>0.19309137417765659</v>
      </c>
      <c r="O221" s="4">
        <f t="shared" si="50"/>
        <v>0.90170052220468488</v>
      </c>
    </row>
    <row r="222" spans="2:15">
      <c r="B222" s="4">
        <f t="shared" si="51"/>
        <v>5</v>
      </c>
      <c r="C222" s="4">
        <f t="shared" si="52"/>
        <v>3</v>
      </c>
      <c r="D222" s="4">
        <f t="shared" ref="D222:D249" si="53">D221+1</f>
        <v>2009</v>
      </c>
      <c r="E222" s="4">
        <f t="shared" si="41"/>
        <v>1.0469277859078818</v>
      </c>
      <c r="F222" s="4">
        <f t="shared" si="42"/>
        <v>0.48076346324751595</v>
      </c>
      <c r="G222" s="4">
        <f t="shared" si="43"/>
        <v>0.30505272327561794</v>
      </c>
      <c r="H222" s="4">
        <f t="shared" si="44"/>
        <v>0.2141838134768661</v>
      </c>
      <c r="I222" s="4">
        <f t="shared" si="45"/>
        <v>0.9802315646948907</v>
      </c>
      <c r="K222" s="4">
        <f t="shared" si="46"/>
        <v>1.0469277859078818</v>
      </c>
      <c r="L222" s="4">
        <f t="shared" si="47"/>
        <v>0.48812487070924332</v>
      </c>
      <c r="M222" s="4">
        <f t="shared" si="48"/>
        <v>0.31122867973785501</v>
      </c>
      <c r="N222" s="4">
        <f t="shared" si="49"/>
        <v>0.20064644955290162</v>
      </c>
      <c r="O222" s="4">
        <f t="shared" si="50"/>
        <v>0.91098089677892291</v>
      </c>
    </row>
    <row r="223" spans="2:15">
      <c r="B223" s="4">
        <f t="shared" si="51"/>
        <v>5</v>
      </c>
      <c r="C223" s="4">
        <f t="shared" si="52"/>
        <v>4</v>
      </c>
      <c r="D223" s="4">
        <f t="shared" si="53"/>
        <v>2010</v>
      </c>
      <c r="E223" s="4">
        <f t="shared" si="41"/>
        <v>1.0709859155816057</v>
      </c>
      <c r="F223" s="4">
        <f t="shared" si="42"/>
        <v>0.47239833771510131</v>
      </c>
      <c r="G223" s="4">
        <f t="shared" si="43"/>
        <v>0.30755610968904351</v>
      </c>
      <c r="H223" s="4">
        <f t="shared" si="44"/>
        <v>0.22004555259585518</v>
      </c>
      <c r="I223" s="4">
        <f t="shared" si="45"/>
        <v>0.97399809773499146</v>
      </c>
      <c r="K223" s="4">
        <f t="shared" si="46"/>
        <v>1.0709859155816057</v>
      </c>
      <c r="L223" s="4">
        <f t="shared" si="47"/>
        <v>0.47969249272357972</v>
      </c>
      <c r="M223" s="4">
        <f t="shared" si="48"/>
        <v>0.31223864194606743</v>
      </c>
      <c r="N223" s="4">
        <f t="shared" si="49"/>
        <v>0.20806886533035285</v>
      </c>
      <c r="O223" s="4">
        <f t="shared" si="50"/>
        <v>0.92038004814939001</v>
      </c>
    </row>
    <row r="224" spans="2:15">
      <c r="B224" s="4">
        <f t="shared" si="51"/>
        <v>5</v>
      </c>
      <c r="C224" s="4">
        <f t="shared" si="52"/>
        <v>5</v>
      </c>
      <c r="D224" s="4">
        <f t="shared" si="53"/>
        <v>2011</v>
      </c>
      <c r="E224" s="4">
        <f t="shared" si="41"/>
        <v>1.095265024698415</v>
      </c>
      <c r="F224" s="4">
        <f t="shared" si="42"/>
        <v>0.4645701609794996</v>
      </c>
      <c r="G224" s="4">
        <f t="shared" si="43"/>
        <v>0.3097974331690258</v>
      </c>
      <c r="H224" s="4">
        <f t="shared" si="44"/>
        <v>0.22563240585147454</v>
      </c>
      <c r="I224" s="4">
        <f t="shared" si="45"/>
        <v>0.96886551280490785</v>
      </c>
      <c r="K224" s="4">
        <f t="shared" si="46"/>
        <v>1.095265024698415</v>
      </c>
      <c r="L224" s="4">
        <f t="shared" si="47"/>
        <v>0.47151533733773021</v>
      </c>
      <c r="M224" s="4">
        <f t="shared" si="48"/>
        <v>0.31323834878327783</v>
      </c>
      <c r="N224" s="4">
        <f t="shared" si="49"/>
        <v>0.21524631387899196</v>
      </c>
      <c r="O224" s="4">
        <f t="shared" si="50"/>
        <v>0.9297489067181629</v>
      </c>
    </row>
    <row r="225" spans="2:15">
      <c r="B225" s="4">
        <f t="shared" si="51"/>
        <v>5</v>
      </c>
      <c r="C225" s="4">
        <f t="shared" si="52"/>
        <v>6</v>
      </c>
      <c r="D225" s="4">
        <f t="shared" si="53"/>
        <v>2012</v>
      </c>
      <c r="E225" s="4">
        <f t="shared" si="41"/>
        <v>1.1195530537917473</v>
      </c>
      <c r="F225" s="4">
        <f t="shared" si="42"/>
        <v>0.45773539554377179</v>
      </c>
      <c r="G225" s="4">
        <f t="shared" si="43"/>
        <v>0.31198463507847302</v>
      </c>
      <c r="H225" s="4">
        <f t="shared" si="44"/>
        <v>0.23027996937775524</v>
      </c>
      <c r="I225" s="4">
        <f t="shared" si="45"/>
        <v>0.96724893796574241</v>
      </c>
      <c r="K225" s="4">
        <f t="shared" si="46"/>
        <v>1.1195530537917473</v>
      </c>
      <c r="L225" s="4">
        <f t="shared" si="47"/>
        <v>0.46364950082758466</v>
      </c>
      <c r="M225" s="4">
        <f t="shared" si="48"/>
        <v>0.3142195891675002</v>
      </c>
      <c r="N225" s="4">
        <f t="shared" si="49"/>
        <v>0.22213091000491508</v>
      </c>
      <c r="O225" s="4">
        <f t="shared" si="50"/>
        <v>0.93900797104320621</v>
      </c>
    </row>
    <row r="226" spans="2:15">
      <c r="B226" s="4">
        <f t="shared" si="51"/>
        <v>5</v>
      </c>
      <c r="C226" s="4">
        <f t="shared" si="52"/>
        <v>7</v>
      </c>
      <c r="D226" s="4">
        <f t="shared" si="53"/>
        <v>2013</v>
      </c>
      <c r="E226" s="4">
        <f t="shared" si="41"/>
        <v>1.143336319250988</v>
      </c>
      <c r="F226" s="4">
        <f t="shared" si="42"/>
        <v>0.45220948637309866</v>
      </c>
      <c r="G226" s="4">
        <f t="shared" si="43"/>
        <v>0.31394623406625782</v>
      </c>
      <c r="H226" s="4">
        <f t="shared" si="44"/>
        <v>0.23384427956064352</v>
      </c>
      <c r="I226" s="4">
        <f t="shared" si="45"/>
        <v>0.96957318343959209</v>
      </c>
      <c r="K226" s="4">
        <f t="shared" si="46"/>
        <v>1.143336319250988</v>
      </c>
      <c r="L226" s="4">
        <f t="shared" si="47"/>
        <v>0.45623395850200277</v>
      </c>
      <c r="M226" s="4">
        <f t="shared" si="48"/>
        <v>0.31516290693197058</v>
      </c>
      <c r="N226" s="4">
        <f t="shared" si="49"/>
        <v>0.22860313456602666</v>
      </c>
      <c r="O226" s="4">
        <f t="shared" si="50"/>
        <v>0.94796849900071489</v>
      </c>
    </row>
    <row r="227" spans="2:15">
      <c r="B227" s="4">
        <f t="shared" si="51"/>
        <v>5</v>
      </c>
      <c r="C227" s="4">
        <f t="shared" si="52"/>
        <v>8</v>
      </c>
      <c r="D227" s="4">
        <f t="shared" si="53"/>
        <v>2014</v>
      </c>
      <c r="E227" s="4">
        <f t="shared" si="41"/>
        <v>1.2070673425403691</v>
      </c>
      <c r="F227" s="4">
        <f t="shared" si="42"/>
        <v>0.43521757792911986</v>
      </c>
      <c r="G227" s="4">
        <f t="shared" si="43"/>
        <v>0.31580874217378668</v>
      </c>
      <c r="H227" s="4">
        <f t="shared" si="44"/>
        <v>0.24897367989709346</v>
      </c>
      <c r="I227" s="4">
        <f t="shared" si="45"/>
        <v>0.97198343966793899</v>
      </c>
      <c r="K227" s="4">
        <f t="shared" si="46"/>
        <v>1.2070673425403691</v>
      </c>
      <c r="L227" s="4">
        <f t="shared" si="47"/>
        <v>0.43764201067020814</v>
      </c>
      <c r="M227" s="4">
        <f t="shared" si="48"/>
        <v>0.31761016774302941</v>
      </c>
      <c r="N227" s="4">
        <f t="shared" si="49"/>
        <v>0.24474782158676245</v>
      </c>
      <c r="O227" s="4">
        <f t="shared" si="50"/>
        <v>0.97148742795455889</v>
      </c>
    </row>
    <row r="228" spans="2:15">
      <c r="B228" s="4">
        <f t="shared" si="51"/>
        <v>5</v>
      </c>
      <c r="C228" s="4">
        <f t="shared" si="52"/>
        <v>9</v>
      </c>
      <c r="D228" s="4">
        <f t="shared" si="53"/>
        <v>2015</v>
      </c>
      <c r="E228" s="4">
        <f t="shared" si="41"/>
        <v>1.2766102262884789</v>
      </c>
      <c r="F228" s="4">
        <f t="shared" si="42"/>
        <v>0.41516104101388451</v>
      </c>
      <c r="G228" s="4">
        <f t="shared" si="43"/>
        <v>0.32009009146383344</v>
      </c>
      <c r="H228" s="4">
        <f t="shared" si="44"/>
        <v>0.26474886752228205</v>
      </c>
      <c r="I228" s="4">
        <f t="shared" si="45"/>
        <v>0.9819111078453252</v>
      </c>
      <c r="K228" s="4">
        <f t="shared" si="46"/>
        <v>1.2766102262884789</v>
      </c>
      <c r="L228" s="4">
        <f t="shared" si="47"/>
        <v>0.4192377046991716</v>
      </c>
      <c r="M228" s="4">
        <f t="shared" si="48"/>
        <v>0.32015729468553239</v>
      </c>
      <c r="N228" s="4">
        <f t="shared" si="49"/>
        <v>0.26060500061529607</v>
      </c>
      <c r="O228" s="4">
        <f t="shared" si="50"/>
        <v>0.99638697458048209</v>
      </c>
    </row>
    <row r="229" spans="2:15">
      <c r="B229" s="4">
        <f t="shared" si="51"/>
        <v>5</v>
      </c>
      <c r="C229" s="4">
        <f t="shared" si="52"/>
        <v>10</v>
      </c>
      <c r="D229" s="4">
        <f t="shared" si="53"/>
        <v>2016</v>
      </c>
      <c r="E229" s="4">
        <f t="shared" si="41"/>
        <v>1.3529409484107484</v>
      </c>
      <c r="F229" s="4">
        <f t="shared" si="42"/>
        <v>0.39532901300995854</v>
      </c>
      <c r="G229" s="4">
        <f t="shared" si="43"/>
        <v>0.32431763577790512</v>
      </c>
      <c r="H229" s="4">
        <f t="shared" si="44"/>
        <v>0.28035335121213639</v>
      </c>
      <c r="I229" s="4">
        <f t="shared" si="45"/>
        <v>0.99523614817670569</v>
      </c>
      <c r="K229" s="4">
        <f t="shared" si="46"/>
        <v>1.3529409484107484</v>
      </c>
      <c r="L229" s="4">
        <f t="shared" si="47"/>
        <v>0.40097398239601967</v>
      </c>
      <c r="M229" s="4">
        <f t="shared" si="48"/>
        <v>0.32281956505189879</v>
      </c>
      <c r="N229" s="4">
        <f t="shared" si="49"/>
        <v>0.27620645255208154</v>
      </c>
      <c r="O229" s="4">
        <f t="shared" si="50"/>
        <v>1.022875257572887</v>
      </c>
    </row>
    <row r="230" spans="2:15">
      <c r="B230" s="4">
        <f t="shared" si="51"/>
        <v>5</v>
      </c>
      <c r="C230" s="4">
        <f t="shared" si="52"/>
        <v>11</v>
      </c>
      <c r="D230" s="4">
        <f t="shared" si="53"/>
        <v>2017</v>
      </c>
      <c r="E230" s="4">
        <f t="shared" si="41"/>
        <v>1.4359707082975925</v>
      </c>
      <c r="F230" s="4">
        <f t="shared" si="42"/>
        <v>0.37591083874447317</v>
      </c>
      <c r="G230" s="4">
        <f t="shared" si="43"/>
        <v>0.32837265937843879</v>
      </c>
      <c r="H230" s="4">
        <f t="shared" si="44"/>
        <v>0.29571650187708803</v>
      </c>
      <c r="I230" s="4">
        <f t="shared" si="45"/>
        <v>1.0122576388647799</v>
      </c>
      <c r="K230" s="4">
        <f t="shared" si="46"/>
        <v>1.4359707082975925</v>
      </c>
      <c r="L230" s="4">
        <f t="shared" si="47"/>
        <v>0.38306846782898551</v>
      </c>
      <c r="M230" s="4">
        <f t="shared" si="48"/>
        <v>0.32557304778294049</v>
      </c>
      <c r="N230" s="4">
        <f t="shared" si="49"/>
        <v>0.29135848438807399</v>
      </c>
      <c r="O230" s="4">
        <f t="shared" si="50"/>
        <v>1.0507738748710249</v>
      </c>
    </row>
    <row r="231" spans="2:15">
      <c r="B231" s="4">
        <f t="shared" si="51"/>
        <v>5</v>
      </c>
      <c r="C231" s="4">
        <f t="shared" si="52"/>
        <v>12</v>
      </c>
      <c r="D231" s="4">
        <f t="shared" si="53"/>
        <v>2018</v>
      </c>
      <c r="E231" s="4">
        <f t="shared" si="41"/>
        <v>1.5252016507533515</v>
      </c>
      <c r="F231" s="4">
        <f t="shared" si="42"/>
        <v>0.35777107226912325</v>
      </c>
      <c r="G231" s="4">
        <f t="shared" si="43"/>
        <v>0.3318605494526865</v>
      </c>
      <c r="H231" s="4">
        <f t="shared" si="44"/>
        <v>0.3103683782781903</v>
      </c>
      <c r="I231" s="4">
        <f t="shared" si="45"/>
        <v>1.0349059434673531</v>
      </c>
      <c r="K231" s="4">
        <f t="shared" si="46"/>
        <v>1.5252016507533515</v>
      </c>
      <c r="L231" s="4">
        <f t="shared" si="47"/>
        <v>0.36575902561804602</v>
      </c>
      <c r="M231" s="4">
        <f t="shared" si="48"/>
        <v>0.32838397340746245</v>
      </c>
      <c r="N231" s="4">
        <f t="shared" si="49"/>
        <v>0.30585700097449148</v>
      </c>
      <c r="O231" s="4">
        <f t="shared" si="50"/>
        <v>1.07978714306237</v>
      </c>
    </row>
    <row r="232" spans="2:15">
      <c r="B232" s="4">
        <f t="shared" si="51"/>
        <v>5</v>
      </c>
      <c r="C232" s="4">
        <f t="shared" si="52"/>
        <v>13</v>
      </c>
      <c r="D232" s="4">
        <f t="shared" si="53"/>
        <v>2019</v>
      </c>
      <c r="E232" s="4">
        <f t="shared" si="41"/>
        <v>1.6213246989348657</v>
      </c>
      <c r="F232" s="4">
        <f t="shared" si="42"/>
        <v>0.34014687840756863</v>
      </c>
      <c r="G232" s="4">
        <f t="shared" si="43"/>
        <v>0.33526573351871869</v>
      </c>
      <c r="H232" s="4">
        <f t="shared" si="44"/>
        <v>0.32458738807371268</v>
      </c>
      <c r="I232" s="4">
        <f t="shared" si="45"/>
        <v>1.0623467869414511</v>
      </c>
      <c r="K232" s="4">
        <f t="shared" si="46"/>
        <v>1.6213246989348657</v>
      </c>
      <c r="L232" s="4">
        <f t="shared" si="47"/>
        <v>0.34900912044720395</v>
      </c>
      <c r="M232" s="4">
        <f t="shared" si="48"/>
        <v>0.33125843600498611</v>
      </c>
      <c r="N232" s="4">
        <f t="shared" si="49"/>
        <v>0.31973244354781</v>
      </c>
      <c r="O232" s="4">
        <f t="shared" si="50"/>
        <v>1.1100183503105985</v>
      </c>
    </row>
    <row r="233" spans="2:15">
      <c r="B233" s="4">
        <f t="shared" si="51"/>
        <v>5</v>
      </c>
      <c r="C233" s="4">
        <f t="shared" si="52"/>
        <v>14</v>
      </c>
      <c r="D233" s="4">
        <f t="shared" si="53"/>
        <v>2020</v>
      </c>
      <c r="E233" s="4">
        <f t="shared" si="41"/>
        <v>1.7084137620769346</v>
      </c>
      <c r="F233" s="4">
        <f t="shared" si="42"/>
        <v>0.32523863918222728</v>
      </c>
      <c r="G233" s="4">
        <f t="shared" si="43"/>
        <v>0.33853295423478719</v>
      </c>
      <c r="H233" s="4">
        <f t="shared" si="44"/>
        <v>0.33622840658298553</v>
      </c>
      <c r="I233" s="4">
        <f t="shared" si="45"/>
        <v>1.0887164249899088</v>
      </c>
      <c r="K233" s="4">
        <f t="shared" si="46"/>
        <v>1.7084137620769346</v>
      </c>
      <c r="L233" s="4">
        <f t="shared" si="47"/>
        <v>0.33528041649725254</v>
      </c>
      <c r="M233" s="4">
        <f t="shared" si="48"/>
        <v>0.33373922705342779</v>
      </c>
      <c r="N233" s="4">
        <f t="shared" si="49"/>
        <v>0.33098035644931972</v>
      </c>
      <c r="O233" s="4">
        <f t="shared" si="50"/>
        <v>1.1365706528902904</v>
      </c>
    </row>
    <row r="234" spans="2:15">
      <c r="B234" s="4">
        <f t="shared" si="51"/>
        <v>5</v>
      </c>
      <c r="C234" s="4">
        <f t="shared" si="52"/>
        <v>15</v>
      </c>
      <c r="D234" s="4">
        <f t="shared" si="53"/>
        <v>2021</v>
      </c>
      <c r="E234" s="4">
        <f t="shared" si="41"/>
        <v>1.7998128653291903</v>
      </c>
      <c r="F234" s="4">
        <f t="shared" si="42"/>
        <v>0.3115601750860737</v>
      </c>
      <c r="G234" s="4">
        <f t="shared" si="43"/>
        <v>0.34123875334124593</v>
      </c>
      <c r="H234" s="4">
        <f t="shared" si="44"/>
        <v>0.34720107157268038</v>
      </c>
      <c r="I234" s="4">
        <f t="shared" si="45"/>
        <v>1.1190351481761085</v>
      </c>
      <c r="K234" s="4">
        <f t="shared" si="46"/>
        <v>1.7998128653291903</v>
      </c>
      <c r="L234" s="4">
        <f t="shared" si="47"/>
        <v>0.32214224902762434</v>
      </c>
      <c r="M234" s="4">
        <f t="shared" si="48"/>
        <v>0.33622879614407924</v>
      </c>
      <c r="N234" s="4">
        <f t="shared" si="49"/>
        <v>0.34162895482829642</v>
      </c>
      <c r="O234" s="4">
        <f t="shared" si="50"/>
        <v>1.1636506342755764</v>
      </c>
    </row>
    <row r="235" spans="2:15">
      <c r="B235" s="4">
        <f t="shared" si="51"/>
        <v>5</v>
      </c>
      <c r="C235" s="4">
        <f t="shared" si="52"/>
        <v>16</v>
      </c>
      <c r="D235" s="4">
        <f t="shared" si="53"/>
        <v>2022</v>
      </c>
      <c r="E235" s="4">
        <f t="shared" si="41"/>
        <v>1.897312729178408</v>
      </c>
      <c r="F235" s="4">
        <f t="shared" si="42"/>
        <v>0.29856269015705983</v>
      </c>
      <c r="G235" s="4">
        <f t="shared" si="43"/>
        <v>0.34379988243202114</v>
      </c>
      <c r="H235" s="4">
        <f t="shared" si="44"/>
        <v>0.35763742741091903</v>
      </c>
      <c r="I235" s="4">
        <f t="shared" si="45"/>
        <v>1.1530793268780501</v>
      </c>
      <c r="K235" s="4">
        <f t="shared" si="46"/>
        <v>1.897312729178408</v>
      </c>
      <c r="L235" s="4">
        <f t="shared" si="47"/>
        <v>0.30936737569897488</v>
      </c>
      <c r="M235" s="4">
        <f t="shared" si="48"/>
        <v>0.33876777778797529</v>
      </c>
      <c r="N235" s="4">
        <f t="shared" si="49"/>
        <v>0.35186484651304983</v>
      </c>
      <c r="O235" s="4">
        <f t="shared" si="50"/>
        <v>1.1917195315892255</v>
      </c>
    </row>
    <row r="236" spans="2:15">
      <c r="B236" s="4">
        <f t="shared" si="51"/>
        <v>5</v>
      </c>
      <c r="C236" s="4">
        <f t="shared" si="52"/>
        <v>17</v>
      </c>
      <c r="D236" s="4">
        <f t="shared" si="53"/>
        <v>2023</v>
      </c>
      <c r="E236" s="4">
        <f t="shared" si="41"/>
        <v>2.0004976304047375</v>
      </c>
      <c r="F236" s="4">
        <f t="shared" si="42"/>
        <v>0.28601155466406752</v>
      </c>
      <c r="G236" s="4">
        <f t="shared" si="43"/>
        <v>0.3462552458142189</v>
      </c>
      <c r="H236" s="4">
        <f t="shared" si="44"/>
        <v>0.36773319952171352</v>
      </c>
      <c r="I236" s="4">
        <f t="shared" si="45"/>
        <v>1.1905172244964548</v>
      </c>
      <c r="K236" s="4">
        <f t="shared" si="46"/>
        <v>2.0004976304047375</v>
      </c>
      <c r="L236" s="4">
        <f t="shared" si="47"/>
        <v>0.29705316746679072</v>
      </c>
      <c r="M236" s="4">
        <f t="shared" si="48"/>
        <v>0.34133574464484767</v>
      </c>
      <c r="N236" s="4">
        <f t="shared" si="49"/>
        <v>0.36161108788836166</v>
      </c>
      <c r="O236" s="4">
        <f t="shared" si="50"/>
        <v>1.2205766571004317</v>
      </c>
    </row>
    <row r="237" spans="2:15">
      <c r="B237" s="4">
        <f t="shared" si="51"/>
        <v>5</v>
      </c>
      <c r="C237" s="4">
        <f t="shared" si="52"/>
        <v>18</v>
      </c>
      <c r="D237" s="4">
        <f t="shared" si="53"/>
        <v>2024</v>
      </c>
      <c r="E237" s="4">
        <f t="shared" si="41"/>
        <v>2.0979006417696606</v>
      </c>
      <c r="F237" s="4">
        <f t="shared" si="42"/>
        <v>0.27527181033313985</v>
      </c>
      <c r="G237" s="4">
        <f t="shared" si="43"/>
        <v>0.34859897734970285</v>
      </c>
      <c r="H237" s="4">
        <f t="shared" si="44"/>
        <v>0.37612921231715729</v>
      </c>
      <c r="I237" s="4">
        <f t="shared" si="45"/>
        <v>1.2283521455424538</v>
      </c>
      <c r="K237" s="4">
        <f t="shared" si="46"/>
        <v>2.0979006417696606</v>
      </c>
      <c r="L237" s="4">
        <f t="shared" si="47"/>
        <v>0.28641650097063853</v>
      </c>
      <c r="M237" s="4">
        <f t="shared" si="48"/>
        <v>0.34365764862733161</v>
      </c>
      <c r="N237" s="4">
        <f t="shared" si="49"/>
        <v>0.36992585040202985</v>
      </c>
      <c r="O237" s="4">
        <f t="shared" si="50"/>
        <v>1.2470771389806392</v>
      </c>
    </row>
    <row r="238" spans="2:15">
      <c r="B238" s="4">
        <f t="shared" si="51"/>
        <v>5</v>
      </c>
      <c r="C238" s="4">
        <f t="shared" si="52"/>
        <v>19</v>
      </c>
      <c r="D238" s="4">
        <f t="shared" si="53"/>
        <v>2025</v>
      </c>
      <c r="E238" s="4">
        <f t="shared" si="41"/>
        <v>2.2013898317383305</v>
      </c>
      <c r="F238" s="4">
        <f t="shared" si="42"/>
        <v>0.26524474833863387</v>
      </c>
      <c r="G238" s="4">
        <f t="shared" si="43"/>
        <v>0.35058050563109611</v>
      </c>
      <c r="H238" s="4">
        <f t="shared" si="44"/>
        <v>0.38417474603027002</v>
      </c>
      <c r="I238" s="4">
        <f t="shared" si="45"/>
        <v>1.2671327893206685</v>
      </c>
      <c r="K238" s="4">
        <f t="shared" si="46"/>
        <v>2.2013898317383305</v>
      </c>
      <c r="L238" s="4">
        <f t="shared" si="47"/>
        <v>0.2760314075018252</v>
      </c>
      <c r="M238" s="4">
        <f t="shared" si="48"/>
        <v>0.34602547316912308</v>
      </c>
      <c r="N238" s="4">
        <f t="shared" si="49"/>
        <v>0.37794311932905172</v>
      </c>
      <c r="O238" s="4">
        <f t="shared" si="50"/>
        <v>1.2745045133745008</v>
      </c>
    </row>
    <row r="239" spans="2:15">
      <c r="B239" s="4">
        <f t="shared" si="51"/>
        <v>5</v>
      </c>
      <c r="C239" s="4">
        <f t="shared" si="52"/>
        <v>20</v>
      </c>
      <c r="D239" s="4">
        <f t="shared" si="53"/>
        <v>2026</v>
      </c>
      <c r="E239" s="4">
        <f t="shared" si="41"/>
        <v>2.3120572171957319</v>
      </c>
      <c r="F239" s="4">
        <f t="shared" si="42"/>
        <v>0.25542652627672202</v>
      </c>
      <c r="G239" s="4">
        <f t="shared" si="43"/>
        <v>0.35248026361074658</v>
      </c>
      <c r="H239" s="4">
        <f t="shared" si="44"/>
        <v>0.3920932101125314</v>
      </c>
      <c r="I239" s="4">
        <f t="shared" si="45"/>
        <v>1.3082658201901565</v>
      </c>
      <c r="K239" s="4">
        <f t="shared" si="46"/>
        <v>2.3120572171957319</v>
      </c>
      <c r="L239" s="4">
        <f t="shared" si="47"/>
        <v>0.26583989475226777</v>
      </c>
      <c r="M239" s="4">
        <f t="shared" si="48"/>
        <v>0.34845418303643727</v>
      </c>
      <c r="N239" s="4">
        <f t="shared" si="49"/>
        <v>0.38570592221129496</v>
      </c>
      <c r="O239" s="4">
        <f t="shared" si="50"/>
        <v>1.3030631109392612</v>
      </c>
    </row>
    <row r="240" spans="2:15">
      <c r="B240" s="4">
        <f t="shared" si="51"/>
        <v>5</v>
      </c>
      <c r="C240" s="4">
        <f t="shared" si="52"/>
        <v>21</v>
      </c>
      <c r="D240" s="4">
        <f t="shared" si="53"/>
        <v>2027</v>
      </c>
      <c r="E240" s="4">
        <f t="shared" si="41"/>
        <v>2.431335824315676</v>
      </c>
      <c r="F240" s="4">
        <f t="shared" si="42"/>
        <v>0.24568883457439825</v>
      </c>
      <c r="G240" s="4">
        <f t="shared" si="43"/>
        <v>0.35431901951370487</v>
      </c>
      <c r="H240" s="4">
        <f t="shared" si="44"/>
        <v>0.39999214591189686</v>
      </c>
      <c r="I240" s="4">
        <f t="shared" si="45"/>
        <v>1.3512913401824727</v>
      </c>
      <c r="K240" s="4">
        <f t="shared" si="46"/>
        <v>2.431335824315676</v>
      </c>
      <c r="L240" s="4">
        <f t="shared" si="47"/>
        <v>0.25577847237353102</v>
      </c>
      <c r="M240" s="4">
        <f t="shared" si="48"/>
        <v>0.35096271011092983</v>
      </c>
      <c r="N240" s="4">
        <f t="shared" si="49"/>
        <v>0.39325881751553915</v>
      </c>
      <c r="O240" s="4">
        <f t="shared" si="50"/>
        <v>1.3330168558000448</v>
      </c>
    </row>
    <row r="241" spans="2:15">
      <c r="B241" s="4">
        <f t="shared" si="51"/>
        <v>5</v>
      </c>
      <c r="C241" s="4">
        <f t="shared" si="52"/>
        <v>22</v>
      </c>
      <c r="D241" s="4">
        <f t="shared" si="53"/>
        <v>2028</v>
      </c>
      <c r="E241" s="4">
        <f t="shared" si="41"/>
        <v>2.5589951033270539</v>
      </c>
      <c r="F241" s="4">
        <f t="shared" si="42"/>
        <v>0.23579856722538819</v>
      </c>
      <c r="G241" s="4">
        <f t="shared" si="43"/>
        <v>0.35614044053235078</v>
      </c>
      <c r="H241" s="4">
        <f t="shared" si="44"/>
        <v>0.40806099224226106</v>
      </c>
      <c r="I241" s="4">
        <f t="shared" si="45"/>
        <v>1.3957234179427762</v>
      </c>
      <c r="K241" s="4">
        <f t="shared" si="46"/>
        <v>2.5589951033270539</v>
      </c>
      <c r="L241" s="4">
        <f t="shared" si="47"/>
        <v>0.24593355827556132</v>
      </c>
      <c r="M241" s="4">
        <f t="shared" si="48"/>
        <v>0.35353318798345224</v>
      </c>
      <c r="N241" s="4">
        <f t="shared" si="49"/>
        <v>0.40053325374098647</v>
      </c>
      <c r="O241" s="4">
        <f t="shared" si="50"/>
        <v>1.3641956887167581</v>
      </c>
    </row>
    <row r="242" spans="2:15">
      <c r="B242" s="4">
        <f t="shared" si="51"/>
        <v>5</v>
      </c>
      <c r="C242" s="4">
        <f t="shared" si="52"/>
        <v>23</v>
      </c>
      <c r="D242" s="4">
        <f t="shared" si="53"/>
        <v>2029</v>
      </c>
      <c r="E242" s="4">
        <f t="shared" si="41"/>
        <v>2.6469036687220324</v>
      </c>
      <c r="F242" s="4">
        <f t="shared" si="42"/>
        <v>0.2287654818302777</v>
      </c>
      <c r="G242" s="4">
        <f t="shared" si="43"/>
        <v>0.35798205658425564</v>
      </c>
      <c r="H242" s="4">
        <f t="shared" si="44"/>
        <v>0.41325246158546669</v>
      </c>
      <c r="I242" s="4">
        <f t="shared" si="45"/>
        <v>1.4302536992686365</v>
      </c>
      <c r="K242" s="4">
        <f t="shared" si="46"/>
        <v>2.6469036687220324</v>
      </c>
      <c r="L242" s="4">
        <f t="shared" si="47"/>
        <v>0.23964419592685648</v>
      </c>
      <c r="M242" s="4">
        <f t="shared" si="48"/>
        <v>0.35524006710305145</v>
      </c>
      <c r="N242" s="4">
        <f t="shared" si="49"/>
        <v>0.40511573697009207</v>
      </c>
      <c r="O242" s="4">
        <f t="shared" si="50"/>
        <v>1.3851728888716226</v>
      </c>
    </row>
    <row r="243" spans="2:15">
      <c r="B243" s="4">
        <f t="shared" si="51"/>
        <v>5</v>
      </c>
      <c r="C243" s="4">
        <f t="shared" si="52"/>
        <v>24</v>
      </c>
      <c r="D243" s="4">
        <f t="shared" si="53"/>
        <v>2030</v>
      </c>
      <c r="E243" s="4">
        <f t="shared" si="41"/>
        <v>2.7368000197411768</v>
      </c>
      <c r="F243" s="4">
        <f t="shared" si="42"/>
        <v>0.2228742275361448</v>
      </c>
      <c r="G243" s="4">
        <f t="shared" si="43"/>
        <v>0.3591260796365886</v>
      </c>
      <c r="H243" s="4">
        <f t="shared" si="44"/>
        <v>0.41799969282726657</v>
      </c>
      <c r="I243" s="4">
        <f t="shared" si="45"/>
        <v>1.4607059382650678</v>
      </c>
      <c r="K243" s="4">
        <f t="shared" si="46"/>
        <v>2.7368000197411768</v>
      </c>
      <c r="L243" s="4">
        <f t="shared" si="47"/>
        <v>0.23358321674789964</v>
      </c>
      <c r="M243" s="4">
        <f t="shared" si="48"/>
        <v>0.35693599490279659</v>
      </c>
      <c r="N243" s="4">
        <f t="shared" si="49"/>
        <v>0.40948078834930379</v>
      </c>
      <c r="O243" s="4">
        <f t="shared" si="50"/>
        <v>1.4062330782136503</v>
      </c>
    </row>
    <row r="244" spans="2:15">
      <c r="B244" s="4">
        <f t="shared" si="51"/>
        <v>5</v>
      </c>
      <c r="C244" s="4">
        <f t="shared" si="52"/>
        <v>25</v>
      </c>
      <c r="D244" s="4">
        <f t="shared" si="53"/>
        <v>2031</v>
      </c>
      <c r="E244" s="4">
        <f t="shared" si="41"/>
        <v>2.8297031484002613</v>
      </c>
      <c r="F244" s="4">
        <f t="shared" si="42"/>
        <v>0.21735180636683185</v>
      </c>
      <c r="G244" s="4">
        <f t="shared" si="43"/>
        <v>0.36017256838296446</v>
      </c>
      <c r="H244" s="4">
        <f t="shared" si="44"/>
        <v>0.42247562525020371</v>
      </c>
      <c r="I244" s="4">
        <f t="shared" si="45"/>
        <v>1.4914226826747954</v>
      </c>
      <c r="K244" s="4">
        <f t="shared" si="46"/>
        <v>2.8297031484002613</v>
      </c>
      <c r="L244" s="4">
        <f t="shared" si="47"/>
        <v>0.2276783900798772</v>
      </c>
      <c r="M244" s="4">
        <f t="shared" si="48"/>
        <v>0.35863918129737976</v>
      </c>
      <c r="N244" s="4">
        <f t="shared" si="49"/>
        <v>0.41368242862274301</v>
      </c>
      <c r="O244" s="4">
        <f t="shared" si="50"/>
        <v>1.427602900556048</v>
      </c>
    </row>
    <row r="245" spans="2:15">
      <c r="B245" s="4">
        <f t="shared" si="51"/>
        <v>5</v>
      </c>
      <c r="C245" s="4">
        <f t="shared" si="52"/>
        <v>26</v>
      </c>
      <c r="D245" s="4">
        <f t="shared" si="53"/>
        <v>2032</v>
      </c>
      <c r="E245" s="4">
        <f t="shared" si="41"/>
        <v>2.9251046523346518</v>
      </c>
      <c r="F245" s="4">
        <f t="shared" si="42"/>
        <v>0.21210105180095506</v>
      </c>
      <c r="G245" s="4">
        <f t="shared" si="43"/>
        <v>0.36116151122493495</v>
      </c>
      <c r="H245" s="4">
        <f t="shared" si="44"/>
        <v>0.42673743697410998</v>
      </c>
      <c r="I245" s="4">
        <f t="shared" si="45"/>
        <v>1.5222954325006199</v>
      </c>
      <c r="K245" s="4">
        <f t="shared" si="46"/>
        <v>2.9251046523346518</v>
      </c>
      <c r="L245" s="4">
        <f t="shared" si="47"/>
        <v>0.22196096530916073</v>
      </c>
      <c r="M245" s="4">
        <f t="shared" si="48"/>
        <v>0.36033898434886813</v>
      </c>
      <c r="N245" s="4">
        <f t="shared" si="49"/>
        <v>0.41770005034197111</v>
      </c>
      <c r="O245" s="4">
        <f t="shared" si="50"/>
        <v>1.449150801552435</v>
      </c>
    </row>
    <row r="246" spans="2:15">
      <c r="B246" s="4">
        <f t="shared" si="51"/>
        <v>5</v>
      </c>
      <c r="C246" s="4">
        <f t="shared" si="52"/>
        <v>27</v>
      </c>
      <c r="D246" s="4">
        <f t="shared" si="53"/>
        <v>2033</v>
      </c>
      <c r="E246" s="4">
        <f t="shared" si="41"/>
        <v>3.0232427754371698</v>
      </c>
      <c r="F246" s="4">
        <f t="shared" si="42"/>
        <v>0.20704659785725399</v>
      </c>
      <c r="G246" s="4">
        <f t="shared" si="43"/>
        <v>0.36210066024298571</v>
      </c>
      <c r="H246" s="4">
        <f t="shared" si="44"/>
        <v>0.43085274189976031</v>
      </c>
      <c r="I246" s="4">
        <f t="shared" si="45"/>
        <v>1.5531822255127945</v>
      </c>
      <c r="K246" s="4">
        <f t="shared" si="46"/>
        <v>3.0232427754371698</v>
      </c>
      <c r="L246" s="4">
        <f t="shared" si="47"/>
        <v>0.21641345378473048</v>
      </c>
      <c r="M246" s="4">
        <f t="shared" si="48"/>
        <v>0.36203865136488539</v>
      </c>
      <c r="N246" s="4">
        <f t="shared" si="49"/>
        <v>0.42154789485038419</v>
      </c>
      <c r="O246" s="4">
        <f t="shared" si="50"/>
        <v>1.4709184827485358</v>
      </c>
    </row>
    <row r="247" spans="2:15">
      <c r="B247" s="4">
        <f t="shared" si="51"/>
        <v>5</v>
      </c>
      <c r="C247" s="4">
        <f t="shared" si="52"/>
        <v>28</v>
      </c>
      <c r="D247" s="4">
        <f t="shared" si="53"/>
        <v>2034</v>
      </c>
      <c r="E247" s="4">
        <f t="shared" si="41"/>
        <v>3.1110995094022238</v>
      </c>
      <c r="F247" s="4">
        <f t="shared" si="42"/>
        <v>0.20271014248398639</v>
      </c>
      <c r="G247" s="4">
        <f t="shared" si="43"/>
        <v>0.36301667715592162</v>
      </c>
      <c r="H247" s="4">
        <f t="shared" si="44"/>
        <v>0.43427318036009205</v>
      </c>
      <c r="I247" s="4">
        <f t="shared" si="45"/>
        <v>1.5802463461572489</v>
      </c>
      <c r="K247" s="4">
        <f t="shared" si="46"/>
        <v>3.1110995094022238</v>
      </c>
      <c r="L247" s="4">
        <f t="shared" si="47"/>
        <v>0.21171035586474291</v>
      </c>
      <c r="M247" s="4">
        <f t="shared" si="48"/>
        <v>0.36352058427517592</v>
      </c>
      <c r="N247" s="4">
        <f t="shared" si="49"/>
        <v>0.42476905986008123</v>
      </c>
      <c r="O247" s="4">
        <f t="shared" si="50"/>
        <v>1.4900793428294641</v>
      </c>
    </row>
    <row r="248" spans="2:15">
      <c r="B248" s="4">
        <f t="shared" si="51"/>
        <v>5</v>
      </c>
      <c r="C248" s="4">
        <f t="shared" si="52"/>
        <v>29</v>
      </c>
      <c r="D248" s="4">
        <f t="shared" si="53"/>
        <v>2035</v>
      </c>
      <c r="E248" s="4">
        <f t="shared" si="41"/>
        <v>3.1990874046086057</v>
      </c>
      <c r="F248" s="4">
        <f t="shared" si="42"/>
        <v>0.19876194509218637</v>
      </c>
      <c r="G248" s="4">
        <f t="shared" si="43"/>
        <v>0.36378724978643645</v>
      </c>
      <c r="H248" s="4">
        <f t="shared" si="44"/>
        <v>0.43745080512137718</v>
      </c>
      <c r="I248" s="4">
        <f t="shared" si="45"/>
        <v>1.6062066417067566</v>
      </c>
      <c r="K248" s="4">
        <f t="shared" si="46"/>
        <v>3.1990874046086057</v>
      </c>
      <c r="L248" s="4">
        <f t="shared" si="47"/>
        <v>0.20722972087517386</v>
      </c>
      <c r="M248" s="4">
        <f t="shared" si="48"/>
        <v>0.3649691935762005</v>
      </c>
      <c r="N248" s="4">
        <f t="shared" si="49"/>
        <v>0.42780108554862561</v>
      </c>
      <c r="O248" s="4">
        <f t="shared" si="50"/>
        <v>1.508973759578969</v>
      </c>
    </row>
    <row r="249" spans="2:15">
      <c r="B249" s="4">
        <f t="shared" si="51"/>
        <v>5</v>
      </c>
      <c r="C249" s="4">
        <f t="shared" si="52"/>
        <v>30</v>
      </c>
      <c r="D249" s="4">
        <f t="shared" si="53"/>
        <v>2036</v>
      </c>
      <c r="E249" s="4">
        <f t="shared" si="41"/>
        <v>3.2872048387045996</v>
      </c>
      <c r="F249" s="4">
        <f t="shared" si="42"/>
        <v>0.19504600299855621</v>
      </c>
      <c r="G249" s="4">
        <f t="shared" si="43"/>
        <v>0.36449939556030653</v>
      </c>
      <c r="H249" s="4">
        <f t="shared" si="44"/>
        <v>0.44045460144113724</v>
      </c>
      <c r="I249" s="4">
        <f t="shared" si="45"/>
        <v>1.6317008220924833</v>
      </c>
      <c r="K249" s="4">
        <f t="shared" si="46"/>
        <v>3.2872048387045996</v>
      </c>
      <c r="L249" s="4">
        <f t="shared" si="47"/>
        <v>0.20295555121319883</v>
      </c>
      <c r="M249" s="4">
        <f t="shared" si="48"/>
        <v>0.36638609435082292</v>
      </c>
      <c r="N249" s="4">
        <f t="shared" si="49"/>
        <v>0.43065835443597822</v>
      </c>
      <c r="O249" s="4">
        <f t="shared" si="50"/>
        <v>1.5276125813808323</v>
      </c>
    </row>
    <row r="250" spans="2:15">
      <c r="B250" s="4">
        <f t="shared" si="51"/>
        <v>5</v>
      </c>
      <c r="C250" s="4">
        <f t="shared" si="52"/>
        <v>31</v>
      </c>
      <c r="D250" s="4">
        <f>D249+1</f>
        <v>2037</v>
      </c>
      <c r="E250" s="4">
        <f t="shared" si="41"/>
        <v>3.3726775987413653</v>
      </c>
      <c r="F250" s="4">
        <f t="shared" si="42"/>
        <v>0.19157515681343482</v>
      </c>
      <c r="G250" s="4">
        <f t="shared" si="43"/>
        <v>0.36519880618112383</v>
      </c>
      <c r="H250" s="4">
        <f t="shared" si="44"/>
        <v>0.44322603700544133</v>
      </c>
      <c r="I250" s="4">
        <f t="shared" si="45"/>
        <v>1.6569513659336197</v>
      </c>
      <c r="K250" s="4">
        <f t="shared" si="46"/>
        <v>3.3726775987413653</v>
      </c>
      <c r="L250" s="4">
        <f t="shared" si="47"/>
        <v>0.19899876087354817</v>
      </c>
      <c r="M250" s="4">
        <f t="shared" si="48"/>
        <v>0.36772969007767387</v>
      </c>
      <c r="N250" s="4">
        <f t="shared" si="49"/>
        <v>0.43327154904877796</v>
      </c>
      <c r="O250" s="4">
        <f t="shared" si="50"/>
        <v>1.5454320701749973</v>
      </c>
    </row>
    <row r="251" spans="2:15">
      <c r="B251" s="4">
        <f t="shared" si="51"/>
        <v>5</v>
      </c>
      <c r="C251" s="4">
        <f t="shared" si="52"/>
        <v>32</v>
      </c>
      <c r="D251" s="4">
        <f>D250+1</f>
        <v>2038</v>
      </c>
      <c r="E251" s="4">
        <f t="shared" si="41"/>
        <v>3.4601626271507588</v>
      </c>
      <c r="F251" s="4">
        <f t="shared" si="42"/>
        <v>0.18830846376216659</v>
      </c>
      <c r="G251" s="4">
        <f t="shared" si="43"/>
        <v>0.36584219995480155</v>
      </c>
      <c r="H251" s="4">
        <f t="shared" si="44"/>
        <v>0.44584933628303186</v>
      </c>
      <c r="I251" s="4">
        <f t="shared" si="45"/>
        <v>1.6816780084545109</v>
      </c>
      <c r="K251" s="4">
        <f t="shared" si="46"/>
        <v>3.4601626271507588</v>
      </c>
      <c r="L251" s="4">
        <f t="shared" si="47"/>
        <v>0.19512820133339087</v>
      </c>
      <c r="M251" s="4">
        <f t="shared" si="48"/>
        <v>0.36907501639860962</v>
      </c>
      <c r="N251" s="4">
        <f t="shared" si="49"/>
        <v>0.43579678226799956</v>
      </c>
      <c r="O251" s="4">
        <f t="shared" si="50"/>
        <v>1.5634165200601615</v>
      </c>
    </row>
    <row r="252" spans="2:15">
      <c r="B252" s="4">
        <f t="shared" si="51"/>
        <v>5</v>
      </c>
      <c r="C252" s="4">
        <f t="shared" si="52"/>
        <v>33</v>
      </c>
      <c r="D252" s="4">
        <f>D251+1</f>
        <v>2039</v>
      </c>
      <c r="E252" s="4">
        <f t="shared" si="41"/>
        <v>3.5472551378157875</v>
      </c>
      <c r="F252" s="4">
        <f t="shared" si="42"/>
        <v>0.18519669309540512</v>
      </c>
      <c r="G252" s="4">
        <f t="shared" si="43"/>
        <v>0.36645032950945999</v>
      </c>
      <c r="H252" s="4">
        <f t="shared" si="44"/>
        <v>0.44835297739513491</v>
      </c>
      <c r="I252" s="4">
        <f t="shared" si="45"/>
        <v>1.7057669271344937</v>
      </c>
      <c r="K252" s="4">
        <f t="shared" si="46"/>
        <v>3.5472551378157875</v>
      </c>
      <c r="L252" s="4">
        <f t="shared" si="47"/>
        <v>0.19144303657247072</v>
      </c>
      <c r="M252" s="4">
        <f t="shared" si="48"/>
        <v>0.37038564399753487</v>
      </c>
      <c r="N252" s="4">
        <f t="shared" si="49"/>
        <v>0.43817131942999438</v>
      </c>
      <c r="O252" s="4">
        <f t="shared" si="50"/>
        <v>1.5810743432021186</v>
      </c>
    </row>
    <row r="253" spans="2:15">
      <c r="B253" s="4">
        <f t="shared" si="51"/>
        <v>5</v>
      </c>
      <c r="C253" s="4">
        <f t="shared" si="52"/>
        <v>34</v>
      </c>
      <c r="D253" s="4">
        <f>D252+1</f>
        <v>2040</v>
      </c>
      <c r="E253" s="4">
        <f t="shared" si="41"/>
        <v>3.6336035622565976</v>
      </c>
      <c r="F253" s="4">
        <f t="shared" si="42"/>
        <v>0.18229872058443697</v>
      </c>
      <c r="G253" s="4">
        <f t="shared" si="43"/>
        <v>0.36704792998662689</v>
      </c>
      <c r="H253" s="4">
        <f t="shared" si="44"/>
        <v>0.45065334942893615</v>
      </c>
      <c r="I253" s="4">
        <f t="shared" si="45"/>
        <v>1.7295062941976356</v>
      </c>
      <c r="K253" s="4">
        <f t="shared" si="46"/>
        <v>3.6336035622565976</v>
      </c>
      <c r="L253" s="4">
        <f t="shared" si="47"/>
        <v>0.18794387207195279</v>
      </c>
      <c r="M253" s="4">
        <f t="shared" si="48"/>
        <v>0.37165811409775956</v>
      </c>
      <c r="N253" s="4">
        <f t="shared" si="49"/>
        <v>0.44039801383028759</v>
      </c>
      <c r="O253" s="4">
        <f t="shared" si="50"/>
        <v>1.5983481943190239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09375" defaultRowHeight="10.199999999999999"/>
  <cols>
    <col min="1" max="1" width="12.44140625" style="18" customWidth="1"/>
    <col min="2" max="2" width="9.109375" style="18"/>
    <col min="3" max="3" width="11" style="18" customWidth="1"/>
    <col min="4" max="4" width="27.44140625" style="18" customWidth="1"/>
    <col min="5" max="5" width="10.109375" style="18" customWidth="1"/>
    <col min="6" max="6" width="28.88671875" style="18" customWidth="1"/>
    <col min="7" max="16384" width="9.109375" style="18"/>
  </cols>
  <sheetData>
    <row r="1" spans="1:8">
      <c r="A1" s="16" t="s">
        <v>29</v>
      </c>
      <c r="B1" s="18" t="s">
        <v>18</v>
      </c>
      <c r="H1" s="18" t="s">
        <v>30</v>
      </c>
    </row>
    <row r="2" spans="1:8">
      <c r="A2" s="18" t="s">
        <v>17</v>
      </c>
    </row>
    <row r="3" spans="1:8" ht="18.75" customHeight="1">
      <c r="A3" s="18" t="s">
        <v>17</v>
      </c>
    </row>
    <row r="4" spans="1:8">
      <c r="A4" s="18" t="s">
        <v>17</v>
      </c>
    </row>
    <row r="5" spans="1:8">
      <c r="A5" s="18" t="s">
        <v>17</v>
      </c>
    </row>
    <row r="6" spans="1:8">
      <c r="A6" s="18" t="s">
        <v>17</v>
      </c>
    </row>
    <row r="7" spans="1:8">
      <c r="A7" s="18" t="s">
        <v>17</v>
      </c>
      <c r="B7" s="16" t="s">
        <v>31</v>
      </c>
      <c r="C7" s="26" t="s">
        <v>32</v>
      </c>
      <c r="D7" s="16" t="s">
        <v>33</v>
      </c>
      <c r="E7" s="16" t="s">
        <v>34</v>
      </c>
      <c r="F7" s="16" t="s">
        <v>35</v>
      </c>
      <c r="G7" s="16" t="s">
        <v>36</v>
      </c>
    </row>
    <row r="8" spans="1:8">
      <c r="A8" s="18" t="s">
        <v>17</v>
      </c>
      <c r="B8" s="16" t="s">
        <v>37</v>
      </c>
      <c r="C8" s="26"/>
      <c r="D8" s="16"/>
      <c r="E8" s="16"/>
      <c r="F8" s="16"/>
      <c r="G8" s="16"/>
    </row>
    <row r="9" spans="1:8">
      <c r="B9" s="19" t="s">
        <v>38</v>
      </c>
      <c r="C9" s="18" t="str">
        <f>[4]AGR!B36</f>
        <v>AH</v>
      </c>
      <c r="D9" s="18" t="str">
        <f>[4]AGR!A36</f>
        <v>Agriculture - Heating</v>
      </c>
      <c r="E9" s="19" t="s">
        <v>39</v>
      </c>
      <c r="F9" s="19" t="s">
        <v>40</v>
      </c>
    </row>
    <row r="10" spans="1:8">
      <c r="B10" s="19" t="s">
        <v>38</v>
      </c>
      <c r="C10" s="18" t="str">
        <f>[4]AGR!B37</f>
        <v>AP</v>
      </c>
      <c r="D10" s="18" t="str">
        <f>[4]AGR!A37</f>
        <v>Agriculture - Processing</v>
      </c>
      <c r="E10" s="19" t="s">
        <v>39</v>
      </c>
      <c r="F10" s="19" t="s">
        <v>40</v>
      </c>
    </row>
    <row r="11" spans="1:8">
      <c r="B11" s="19" t="s">
        <v>38</v>
      </c>
      <c r="C11" s="18" t="str">
        <f>[4]AGR!B38</f>
        <v>AT</v>
      </c>
      <c r="D11" s="18" t="str">
        <f>[4]AGR!A38</f>
        <v>Agriculture - Traction</v>
      </c>
      <c r="E11" s="19" t="s">
        <v>39</v>
      </c>
      <c r="F11" s="19" t="s">
        <v>99</v>
      </c>
    </row>
    <row r="12" spans="1:8">
      <c r="B12" s="19" t="s">
        <v>38</v>
      </c>
      <c r="C12" s="18" t="str">
        <f>[4]AGR!B39</f>
        <v>AI</v>
      </c>
      <c r="D12" s="18" t="str">
        <f>[4]AGR!A39</f>
        <v>Agriculture - Irrigation</v>
      </c>
      <c r="E12" s="19" t="s">
        <v>39</v>
      </c>
      <c r="F12" s="19" t="s">
        <v>40</v>
      </c>
    </row>
    <row r="13" spans="1:8">
      <c r="B13" s="19" t="s">
        <v>38</v>
      </c>
      <c r="C13" s="18" t="str">
        <f>[4]AGR!B40</f>
        <v>AO</v>
      </c>
      <c r="D13" s="18" t="str">
        <f>[4]AGR!A40</f>
        <v>Agriculture - Other</v>
      </c>
      <c r="E13" s="19" t="s">
        <v>39</v>
      </c>
      <c r="F13" s="19" t="s">
        <v>40</v>
      </c>
    </row>
  </sheetData>
  <pageMargins left="0.75" right="0.75" top="1" bottom="1" header="0.5" footer="0.5"/>
  <pageSetup paperSize="9" orientation="portrait"/>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AM22" sqref="AM22"/>
    </sheetView>
  </sheetViews>
  <sheetFormatPr defaultColWidth="9.109375" defaultRowHeight="14.4"/>
  <cols>
    <col min="1" max="1" width="9.109375" style="4"/>
    <col min="2" max="2" width="13.109375" style="4" customWidth="1"/>
    <col min="3" max="3" width="25.44140625" style="4" customWidth="1"/>
    <col min="4" max="4" width="21.88671875" style="4" customWidth="1"/>
    <col min="5" max="16384" width="9.109375" style="4"/>
  </cols>
  <sheetData>
    <row r="1" spans="1:48">
      <c r="A1" s="4" t="str">
        <f>IF(AGR,"TS DATA","")</f>
        <v>TS DATA</v>
      </c>
      <c r="B1" s="4" t="s">
        <v>18</v>
      </c>
    </row>
    <row r="2" spans="1:48" ht="15" thickBot="1">
      <c r="A2" s="4" t="s">
        <v>17</v>
      </c>
      <c r="B2" s="298" t="s">
        <v>198</v>
      </c>
      <c r="C2" s="298"/>
    </row>
    <row r="3" spans="1:48">
      <c r="A3" s="4" t="s">
        <v>17</v>
      </c>
    </row>
    <row r="4" spans="1:48" ht="15" thickBot="1">
      <c r="A4" s="4" t="s">
        <v>17</v>
      </c>
      <c r="B4" s="298" t="s">
        <v>12</v>
      </c>
      <c r="C4" s="298"/>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17</v>
      </c>
      <c r="B5" s="4" t="s">
        <v>10</v>
      </c>
      <c r="C5" s="4" t="s">
        <v>11</v>
      </c>
      <c r="D5" s="4" t="s">
        <v>287</v>
      </c>
    </row>
    <row r="6" spans="1:48">
      <c r="A6" s="4" t="s">
        <v>17</v>
      </c>
      <c r="B6" s="25" t="s">
        <v>139</v>
      </c>
      <c r="C6" s="4" t="s">
        <v>1</v>
      </c>
      <c r="D6" s="4">
        <f>MATCH(B6,MCEcon!A44:A59,0)</f>
        <v>2</v>
      </c>
      <c r="J6" s="8"/>
      <c r="K6" s="151">
        <f>INDEX(MCEcon!$C$44:$AG$59,$D$6,MATCH(K$4,MCEcon!$C$42:$AG$42,0))</f>
        <v>1.2205117273302883E-2</v>
      </c>
      <c r="L6" s="151">
        <f>INDEX(MCEcon!$C$44:$AG$59,$D$6,MATCH(L$4,MCEcon!$C$42:$AG$42,0))</f>
        <v>1.2568850455172332E-2</v>
      </c>
      <c r="M6" s="151">
        <f>INDEX(MCEcon!$C$44:$AG$59,$D$6,MATCH(M$4,MCEcon!$C$42:$AG$42,0))</f>
        <v>1.293258363704178E-2</v>
      </c>
      <c r="N6" s="151">
        <f>INDEX(MCEcon!$C$44:$AG$59,$D$6,MATCH(N$4,MCEcon!$C$42:$AG$42,0))</f>
        <v>1.3296316818911229E-2</v>
      </c>
      <c r="O6" s="151">
        <f>INDEX(MCEcon!$C$44:$AG$59,$D$6,MATCH(O$4,MCEcon!$C$42:$AG$42,0))</f>
        <v>1.3373469816221773E-2</v>
      </c>
      <c r="P6" s="151">
        <f>INDEX(MCEcon!$C$44:$AG$59,$D$6,MATCH(P$4,MCEcon!$C$42:$AG$42,0))</f>
        <v>1.3450622813532317E-2</v>
      </c>
      <c r="Q6" s="151">
        <f>INDEX(MCEcon!$C$44:$AG$59,$D$6,MATCH(Q$4,MCEcon!$C$42:$AG$42,0))</f>
        <v>1.352777581084286E-2</v>
      </c>
      <c r="R6" s="151">
        <f>INDEX(MCEcon!$C$44:$AG$59,$D$6,MATCH(R$4,MCEcon!$C$42:$AG$42,0))</f>
        <v>1.3604928808153404E-2</v>
      </c>
      <c r="S6" s="151">
        <f>INDEX(MCEcon!$C$44:$AG$59,$D$6,MATCH(S$4,MCEcon!$C$42:$AG$42,0))</f>
        <v>1.3682081805463944E-2</v>
      </c>
      <c r="T6" s="151">
        <f>INDEX(MCEcon!$C$44:$AG$59,$D$6,MATCH(T$4,MCEcon!$C$42:$AG$42,0))</f>
        <v>1.3937376141827261E-2</v>
      </c>
      <c r="U6" s="151">
        <f>INDEX(MCEcon!$C$44:$AG$59,$D$6,MATCH(U$4,MCEcon!$C$42:$AG$42,0))</f>
        <v>1.4192670478190578E-2</v>
      </c>
      <c r="V6" s="151">
        <f>INDEX(MCEcon!$C$44:$AG$59,$D$6,MATCH(V$4,MCEcon!$C$42:$AG$42,0))</f>
        <v>1.4447964814553895E-2</v>
      </c>
      <c r="W6" s="151">
        <f>INDEX(MCEcon!$C$44:$AG$59,$D$6,MATCH(W$4,MCEcon!$C$42:$AG$42,0))</f>
        <v>1.4703259150917213E-2</v>
      </c>
      <c r="X6" s="151">
        <f>INDEX(MCEcon!$C$44:$AG$59,$D$6,MATCH(X$4,MCEcon!$C$42:$AG$42,0))</f>
        <v>1.495855348728053E-2</v>
      </c>
      <c r="Y6" s="151">
        <f>INDEX(MCEcon!$C$44:$AG$59,$D$6,MATCH(Y$4,MCEcon!$C$42:$AG$42,0))</f>
        <v>1.5296246410420824E-2</v>
      </c>
      <c r="Z6" s="151">
        <f>INDEX(MCEcon!$C$44:$AG$59,$D$6,MATCH(Z$4,MCEcon!$C$42:$AG$42,0))</f>
        <v>1.5633939333561119E-2</v>
      </c>
      <c r="AA6" s="151">
        <f>INDEX(MCEcon!$C$44:$AG$59,$D$6,MATCH(AA$4,MCEcon!$C$42:$AG$42,0))</f>
        <v>1.5971632256701413E-2</v>
      </c>
      <c r="AB6" s="151">
        <f>INDEX(MCEcon!$C$44:$AG$59,$D$6,MATCH(AB$4,MCEcon!$C$42:$AG$42,0))</f>
        <v>1.6309325179841707E-2</v>
      </c>
      <c r="AC6" s="151">
        <f>INDEX(MCEcon!$C$44:$AG$59,$D$6,MATCH(AC$4,MCEcon!$C$42:$AG$42,0))</f>
        <v>1.6647018102982001E-2</v>
      </c>
      <c r="AD6" s="151">
        <f>INDEX(MCEcon!$C$44:$AG$59,$D$6,MATCH(AD$4,MCEcon!$C$42:$AG$42,0))</f>
        <v>1.692062381592491E-2</v>
      </c>
      <c r="AE6" s="151">
        <f>INDEX(MCEcon!$C$44:$AG$59,$D$6,MATCH(AE$4,MCEcon!$C$42:$AG$42,0))</f>
        <v>1.7194229528867819E-2</v>
      </c>
      <c r="AF6" s="151">
        <f>INDEX(MCEcon!$C$44:$AG$59,$D$6,MATCH(AF$4,MCEcon!$C$42:$AG$42,0))</f>
        <v>1.7467835241810729E-2</v>
      </c>
      <c r="AG6" s="151">
        <f>INDEX(MCEcon!$C$44:$AG$59,$D$6,MATCH(AG$4,MCEcon!$C$42:$AG$42,0))</f>
        <v>1.7741440954753638E-2</v>
      </c>
      <c r="AH6" s="151">
        <f>INDEX(MCEcon!$C$44:$AG$59,$D$6,MATCH(AH$4,MCEcon!$C$42:$AG$42,0))</f>
        <v>1.8015046667696547E-2</v>
      </c>
      <c r="AI6" s="151">
        <f>INDEX(MCEcon!$C$44:$AG$59,$D$6,MATCH(AI$4,MCEcon!$C$42:$AG$42,0))</f>
        <v>1.8341310858522541E-2</v>
      </c>
      <c r="AJ6" s="151">
        <f>INDEX(MCEcon!$C$44:$AG$59,$D$6,MATCH(AJ$4,MCEcon!$C$42:$AG$42,0))</f>
        <v>1.8667575049348534E-2</v>
      </c>
      <c r="AK6" s="151">
        <f>INDEX(MCEcon!$C$44:$AG$59,$D$6,MATCH(AK$4,MCEcon!$C$42:$AG$42,0))</f>
        <v>1.8993839240174528E-2</v>
      </c>
      <c r="AL6" s="151">
        <f>INDEX(MCEcon!$C$44:$AG$59,$D$6,MATCH(AL$4,MCEcon!$C$42:$AG$42,0))</f>
        <v>1.9320103431000522E-2</v>
      </c>
      <c r="AM6" s="151">
        <f>INDEX(MCEcon!$C$44:$AG$59,$D$6,MATCH(AM$4,MCEcon!$C$42:$AG$42,0))</f>
        <v>1.9646367621826522E-2</v>
      </c>
      <c r="AN6" s="151">
        <f>INDEX(MCEcon!$C$44:$AG$59,$D$6,MATCH(AN$4,MCEcon!$C$42:$AG$42,0))</f>
        <v>2.1134076660880814E-2</v>
      </c>
      <c r="AO6" s="151">
        <f>INDEX(MCEcon!$C$44:$AG$59,$D$6,MATCH(AO$4,MCEcon!$C$42:$AG$42,0))</f>
        <v>2.2743958258456747E-2</v>
      </c>
      <c r="AP6" s="151">
        <f>AO6</f>
        <v>2.2743958258456747E-2</v>
      </c>
      <c r="AQ6" s="151"/>
      <c r="AR6" s="151"/>
      <c r="AS6" s="24"/>
      <c r="AT6" s="24"/>
      <c r="AU6" s="24"/>
      <c r="AV6" s="24"/>
    </row>
    <row r="7" spans="1:48">
      <c r="A7" s="4" t="s">
        <v>17</v>
      </c>
      <c r="B7" s="25"/>
    </row>
    <row r="8" spans="1:48" ht="15" thickBot="1">
      <c r="A8" s="4" t="s">
        <v>17</v>
      </c>
      <c r="B8" s="298" t="s">
        <v>292</v>
      </c>
      <c r="C8" s="298"/>
    </row>
    <row r="9" spans="1:48">
      <c r="A9" s="4" t="s">
        <v>17</v>
      </c>
      <c r="B9" s="4" t="str">
        <f>[4]AGR!$B28</f>
        <v>AH</v>
      </c>
      <c r="C9" s="4" t="str">
        <f>[4]AGR!$A36</f>
        <v>Agriculture - Heating</v>
      </c>
    </row>
    <row r="10" spans="1:48">
      <c r="A10" s="4" t="s">
        <v>17</v>
      </c>
      <c r="B10" s="4" t="str">
        <f>[4]AGR!$B29</f>
        <v>AP</v>
      </c>
      <c r="C10" s="4" t="str">
        <f>[4]AGR!$A37</f>
        <v>Agriculture - Processing</v>
      </c>
    </row>
    <row r="11" spans="1:48">
      <c r="A11" s="4" t="s">
        <v>17</v>
      </c>
      <c r="B11" s="4" t="str">
        <f>[4]AGR!$B30</f>
        <v>AT</v>
      </c>
      <c r="C11" s="4" t="str">
        <f>[4]AGR!$A38</f>
        <v>Agriculture - Traction</v>
      </c>
    </row>
    <row r="12" spans="1:48">
      <c r="A12" s="4" t="s">
        <v>17</v>
      </c>
      <c r="B12" s="4" t="str">
        <f>[4]AGR!$B31</f>
        <v>AI</v>
      </c>
      <c r="C12" s="4" t="str">
        <f>[4]AGR!$A39</f>
        <v>Agriculture - Irrigation</v>
      </c>
    </row>
    <row r="13" spans="1:48">
      <c r="A13" s="4" t="s">
        <v>17</v>
      </c>
      <c r="B13" s="4" t="str">
        <f>[4]AGR!$B32</f>
        <v>AO</v>
      </c>
      <c r="C13" s="4" t="str">
        <f>[4]AGR!$A40</f>
        <v>Agriculture - Other</v>
      </c>
    </row>
    <row r="14" spans="1:48">
      <c r="A14" s="4" t="s">
        <v>17</v>
      </c>
      <c r="B14" s="25"/>
    </row>
    <row r="15" spans="1:48">
      <c r="A15" s="4" t="s">
        <v>17</v>
      </c>
      <c r="B15" s="25"/>
    </row>
    <row r="16" spans="1:48" ht="15" thickBot="1">
      <c r="A16" s="4" t="s">
        <v>17</v>
      </c>
      <c r="B16" s="298" t="s">
        <v>13</v>
      </c>
      <c r="C16" s="298"/>
      <c r="D16" s="9">
        <v>2010</v>
      </c>
      <c r="E16" s="9">
        <v>2020</v>
      </c>
      <c r="F16" s="15">
        <v>2030</v>
      </c>
      <c r="G16" s="15">
        <v>2050</v>
      </c>
    </row>
    <row r="17" spans="1:48">
      <c r="A17" s="4" t="s">
        <v>17</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17</v>
      </c>
      <c r="B18" s="21"/>
    </row>
    <row r="19" spans="1:48">
      <c r="A19" s="4" t="s">
        <v>17</v>
      </c>
      <c r="B19" s="21"/>
    </row>
    <row r="20" spans="1:48">
      <c r="A20" s="4" t="s">
        <v>17</v>
      </c>
    </row>
    <row r="21" spans="1:48" ht="21.6">
      <c r="A21" s="4" t="s">
        <v>17</v>
      </c>
      <c r="B21" s="16" t="s">
        <v>19</v>
      </c>
      <c r="C21" s="16" t="s">
        <v>20</v>
      </c>
      <c r="D21" s="16" t="s">
        <v>21</v>
      </c>
      <c r="E21" s="16" t="s">
        <v>22</v>
      </c>
      <c r="F21" s="16" t="s">
        <v>23</v>
      </c>
      <c r="G21" s="16" t="s">
        <v>24</v>
      </c>
      <c r="H21" s="16" t="s">
        <v>25</v>
      </c>
      <c r="I21" s="17" t="s">
        <v>26</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IF('[4]TS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'[4]TS BYDem'!$J10</f>
        <v>2.5043970166379772</v>
      </c>
      <c r="K22" s="6">
        <f>L$6/K$6*J22</f>
        <v>2.5790322925741314</v>
      </c>
      <c r="L22" s="6">
        <f t="shared" ref="L22:AP22" si="2">L$6/K$6*K22*L$17</f>
        <v>2.65589182623662</v>
      </c>
      <c r="M22" s="6">
        <f t="shared" si="2"/>
        <v>2.7327513598991087</v>
      </c>
      <c r="N22" s="6">
        <f t="shared" si="2"/>
        <v>2.8096108935615978</v>
      </c>
      <c r="O22" s="6">
        <f t="shared" si="2"/>
        <v>2.8259138972179425</v>
      </c>
      <c r="P22" s="6">
        <f t="shared" si="2"/>
        <v>2.8422169008742872</v>
      </c>
      <c r="Q22" s="6">
        <f t="shared" si="2"/>
        <v>2.8585199045306324</v>
      </c>
      <c r="R22" s="6">
        <f t="shared" si="2"/>
        <v>2.8748229081869772</v>
      </c>
      <c r="S22" s="6">
        <f t="shared" si="2"/>
        <v>2.891125911843321</v>
      </c>
      <c r="T22" s="6">
        <f t="shared" si="2"/>
        <v>2.9450715088293058</v>
      </c>
      <c r="U22" s="6">
        <f t="shared" si="2"/>
        <v>2.9990171058152901</v>
      </c>
      <c r="V22" s="6">
        <f t="shared" si="2"/>
        <v>3.0529627028012749</v>
      </c>
      <c r="W22" s="6">
        <f t="shared" si="2"/>
        <v>3.1069082997872597</v>
      </c>
      <c r="X22" s="6">
        <f t="shared" si="2"/>
        <v>3.160853896773244</v>
      </c>
      <c r="Y22" s="6">
        <f t="shared" si="2"/>
        <v>3.232210929585833</v>
      </c>
      <c r="Z22" s="6">
        <f t="shared" si="2"/>
        <v>3.3035679623984224</v>
      </c>
      <c r="AA22" s="6">
        <f t="shared" si="2"/>
        <v>3.374924995211011</v>
      </c>
      <c r="AB22" s="6">
        <f t="shared" si="2"/>
        <v>3.4462820280236004</v>
      </c>
      <c r="AC22" s="6">
        <f t="shared" si="2"/>
        <v>3.5176390608361894</v>
      </c>
      <c r="AD22" s="6">
        <f t="shared" si="2"/>
        <v>3.5754539882401248</v>
      </c>
      <c r="AE22" s="6">
        <f t="shared" si="2"/>
        <v>3.6332689156440607</v>
      </c>
      <c r="AF22" s="6">
        <f t="shared" si="2"/>
        <v>3.6910838430479962</v>
      </c>
      <c r="AG22" s="6">
        <f t="shared" si="2"/>
        <v>3.7488987704519321</v>
      </c>
      <c r="AH22" s="6">
        <f t="shared" si="2"/>
        <v>3.8067136978558676</v>
      </c>
      <c r="AI22" s="6">
        <f t="shared" si="2"/>
        <v>3.8756557543071692</v>
      </c>
      <c r="AJ22" s="6">
        <f t="shared" si="2"/>
        <v>3.9445978107584709</v>
      </c>
      <c r="AK22" s="6">
        <f t="shared" si="2"/>
        <v>4.0135398672097722</v>
      </c>
      <c r="AL22" s="6">
        <f t="shared" si="2"/>
        <v>4.0824819236610743</v>
      </c>
      <c r="AM22" s="6">
        <f t="shared" si="2"/>
        <v>4.1514239801123773</v>
      </c>
      <c r="AN22" s="6">
        <f t="shared" si="2"/>
        <v>4.4657879938091609</v>
      </c>
      <c r="AO22" s="6">
        <f t="shared" si="2"/>
        <v>4.8059679801539854</v>
      </c>
      <c r="AP22" s="6">
        <f t="shared" si="2"/>
        <v>4.8059679801539854</v>
      </c>
      <c r="AQ22" s="6"/>
      <c r="AR22" s="6"/>
      <c r="AS22" s="6"/>
      <c r="AT22" s="6"/>
      <c r="AU22" s="6"/>
      <c r="AV22" s="6"/>
    </row>
    <row r="23" spans="1:48">
      <c r="A23" s="4" t="str">
        <f>IF('[4]TS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'[4]TS BYDem'!$J11</f>
        <v>3.8349683201390801</v>
      </c>
      <c r="K23" s="6">
        <f>L$6/K$6*J23</f>
        <v>3.9492568761781026</v>
      </c>
      <c r="L23" s="6">
        <f t="shared" ref="L23:AP23" si="3">L$6/K$6*K23*L$17</f>
        <v>4.0669514249010517</v>
      </c>
      <c r="M23" s="6">
        <f t="shared" si="3"/>
        <v>4.1846459736240016</v>
      </c>
      <c r="N23" s="6">
        <f t="shared" si="3"/>
        <v>4.3023405223469515</v>
      </c>
      <c r="O23" s="6">
        <f t="shared" si="3"/>
        <v>4.3273052152969242</v>
      </c>
      <c r="P23" s="6">
        <f t="shared" si="3"/>
        <v>4.352269908246897</v>
      </c>
      <c r="Q23" s="6">
        <f t="shared" si="3"/>
        <v>4.3772346011968697</v>
      </c>
      <c r="R23" s="6">
        <f t="shared" si="3"/>
        <v>4.4021992941468424</v>
      </c>
      <c r="S23" s="6">
        <f t="shared" si="3"/>
        <v>4.4271639870968134</v>
      </c>
      <c r="T23" s="6">
        <f t="shared" si="3"/>
        <v>4.5097705602870208</v>
      </c>
      <c r="U23" s="6">
        <f t="shared" si="3"/>
        <v>4.5923771334772274</v>
      </c>
      <c r="V23" s="6">
        <f t="shared" si="3"/>
        <v>4.6749837066674349</v>
      </c>
      <c r="W23" s="6">
        <f t="shared" si="3"/>
        <v>4.7575902798576424</v>
      </c>
      <c r="X23" s="6">
        <f t="shared" si="3"/>
        <v>4.840196853047849</v>
      </c>
      <c r="Y23" s="6">
        <f t="shared" si="3"/>
        <v>4.9494654548060346</v>
      </c>
      <c r="Z23" s="6">
        <f t="shared" si="3"/>
        <v>5.0587340565642211</v>
      </c>
      <c r="AA23" s="6">
        <f t="shared" si="3"/>
        <v>5.1680026583224068</v>
      </c>
      <c r="AB23" s="6">
        <f t="shared" si="3"/>
        <v>5.2772712600805933</v>
      </c>
      <c r="AC23" s="6">
        <f t="shared" si="3"/>
        <v>5.386539861838779</v>
      </c>
      <c r="AD23" s="6">
        <f t="shared" si="3"/>
        <v>5.4750715177832028</v>
      </c>
      <c r="AE23" s="6">
        <f t="shared" si="3"/>
        <v>5.5636031737276266</v>
      </c>
      <c r="AF23" s="6">
        <f t="shared" si="3"/>
        <v>5.6521348296720504</v>
      </c>
      <c r="AG23" s="6">
        <f t="shared" si="3"/>
        <v>5.7406664856164742</v>
      </c>
      <c r="AH23" s="6">
        <f t="shared" si="3"/>
        <v>5.829198141560898</v>
      </c>
      <c r="AI23" s="6">
        <f t="shared" si="3"/>
        <v>5.9347687043189197</v>
      </c>
      <c r="AJ23" s="6">
        <f t="shared" si="3"/>
        <v>6.0403392670769414</v>
      </c>
      <c r="AK23" s="6">
        <f t="shared" si="3"/>
        <v>6.145909829834963</v>
      </c>
      <c r="AL23" s="6">
        <f t="shared" si="3"/>
        <v>6.2514803925929847</v>
      </c>
      <c r="AM23" s="6">
        <f t="shared" si="3"/>
        <v>6.3570509553510091</v>
      </c>
      <c r="AN23" s="6">
        <f t="shared" si="3"/>
        <v>6.8384347078110554</v>
      </c>
      <c r="AO23" s="6">
        <f t="shared" si="3"/>
        <v>7.3593503063007386</v>
      </c>
      <c r="AP23" s="6">
        <f t="shared" si="3"/>
        <v>7.3593503063007386</v>
      </c>
      <c r="AQ23" s="6"/>
      <c r="AR23" s="6"/>
      <c r="AS23" s="6"/>
      <c r="AT23" s="6"/>
      <c r="AU23" s="6"/>
      <c r="AV23" s="6"/>
    </row>
    <row r="24" spans="1:48">
      <c r="A24" s="4" t="str">
        <f>IF('[4]TS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'[4]TS BYDem'!$J12</f>
        <v>9.5227140641133712</v>
      </c>
      <c r="K24" s="6">
        <f>L$6/K$6*J24</f>
        <v>9.8065070837961361</v>
      </c>
      <c r="L24" s="6">
        <f t="shared" ref="L24:AP24" si="4">L$6/K$6*K24*L$17</f>
        <v>10.098757616481857</v>
      </c>
      <c r="M24" s="6">
        <f t="shared" si="4"/>
        <v>10.391008149167577</v>
      </c>
      <c r="N24" s="6">
        <f t="shared" si="4"/>
        <v>10.6832586818533</v>
      </c>
      <c r="O24" s="6">
        <f t="shared" si="4"/>
        <v>10.745249189418262</v>
      </c>
      <c r="P24" s="6">
        <f t="shared" si="4"/>
        <v>10.807239696983224</v>
      </c>
      <c r="Q24" s="6">
        <f t="shared" si="4"/>
        <v>10.869230204548188</v>
      </c>
      <c r="R24" s="6">
        <f t="shared" si="4"/>
        <v>10.93122071211315</v>
      </c>
      <c r="S24" s="6">
        <f t="shared" si="4"/>
        <v>10.993211219678111</v>
      </c>
      <c r="T24" s="6">
        <f t="shared" si="4"/>
        <v>11.198333846682775</v>
      </c>
      <c r="U24" s="6">
        <f t="shared" si="4"/>
        <v>11.40345647368744</v>
      </c>
      <c r="V24" s="6">
        <f t="shared" si="4"/>
        <v>11.608579100692106</v>
      </c>
      <c r="W24" s="6">
        <f t="shared" si="4"/>
        <v>11.813701727696772</v>
      </c>
      <c r="X24" s="6">
        <f t="shared" si="4"/>
        <v>12.018824354701437</v>
      </c>
      <c r="Y24" s="6">
        <f t="shared" si="4"/>
        <v>12.290152189475036</v>
      </c>
      <c r="Z24" s="6">
        <f t="shared" si="4"/>
        <v>12.561480024248636</v>
      </c>
      <c r="AA24" s="6">
        <f t="shared" si="4"/>
        <v>12.832807859022234</v>
      </c>
      <c r="AB24" s="6">
        <f t="shared" si="4"/>
        <v>13.104135693795833</v>
      </c>
      <c r="AC24" s="6">
        <f t="shared" si="4"/>
        <v>13.37546352856943</v>
      </c>
      <c r="AD24" s="6">
        <f t="shared" si="4"/>
        <v>13.595298889595471</v>
      </c>
      <c r="AE24" s="6">
        <f t="shared" si="4"/>
        <v>13.815134250621513</v>
      </c>
      <c r="AF24" s="6">
        <f t="shared" si="4"/>
        <v>14.034969611647556</v>
      </c>
      <c r="AG24" s="6">
        <f t="shared" si="4"/>
        <v>14.254804972673599</v>
      </c>
      <c r="AH24" s="6">
        <f t="shared" si="4"/>
        <v>14.474640333699641</v>
      </c>
      <c r="AI24" s="6">
        <f t="shared" si="4"/>
        <v>14.736785467325078</v>
      </c>
      <c r="AJ24" s="6">
        <f t="shared" si="4"/>
        <v>14.998930600950516</v>
      </c>
      <c r="AK24" s="6">
        <f t="shared" si="4"/>
        <v>15.261075734575952</v>
      </c>
      <c r="AL24" s="6">
        <f t="shared" si="4"/>
        <v>15.52322086820139</v>
      </c>
      <c r="AM24" s="6">
        <f t="shared" si="4"/>
        <v>15.785366001826834</v>
      </c>
      <c r="AN24" s="6">
        <f t="shared" si="4"/>
        <v>16.980703080809718</v>
      </c>
      <c r="AO24" s="6">
        <f t="shared" si="4"/>
        <v>18.274202761081874</v>
      </c>
      <c r="AP24" s="6">
        <f t="shared" si="4"/>
        <v>18.274202761081874</v>
      </c>
      <c r="AQ24" s="6"/>
      <c r="AR24" s="6"/>
      <c r="AS24" s="6"/>
      <c r="AT24" s="6"/>
      <c r="AU24" s="6"/>
      <c r="AV24" s="6"/>
    </row>
    <row r="25" spans="1:48">
      <c r="A25" s="4" t="str">
        <f>IF('[4]TS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'[4]TS BYDem'!$J13</f>
        <v>4.8851919315217742</v>
      </c>
      <c r="K25" s="6">
        <f>L$6/K$6*J25</f>
        <v>5.0307789312618034</v>
      </c>
      <c r="L25" s="6">
        <f t="shared" ref="L25:AP25" si="5">L$6/K$6*K25*L$17</f>
        <v>5.1807046703575041</v>
      </c>
      <c r="M25" s="6">
        <f t="shared" si="5"/>
        <v>5.3306304094532049</v>
      </c>
      <c r="N25" s="6">
        <f t="shared" si="5"/>
        <v>5.4805561485489065</v>
      </c>
      <c r="O25" s="6">
        <f t="shared" si="5"/>
        <v>5.5123575368241822</v>
      </c>
      <c r="P25" s="6">
        <f t="shared" si="5"/>
        <v>5.5441589250994578</v>
      </c>
      <c r="Q25" s="6">
        <f t="shared" si="5"/>
        <v>5.5759603133747344</v>
      </c>
      <c r="R25" s="6">
        <f t="shared" si="5"/>
        <v>5.6077617016500101</v>
      </c>
      <c r="S25" s="6">
        <f t="shared" si="5"/>
        <v>5.639563089925284</v>
      </c>
      <c r="T25" s="6">
        <f t="shared" si="5"/>
        <v>5.7447918509349254</v>
      </c>
      <c r="U25" s="6">
        <f t="shared" si="5"/>
        <v>5.8500206119445668</v>
      </c>
      <c r="V25" s="6">
        <f t="shared" si="5"/>
        <v>5.9552493729542091</v>
      </c>
      <c r="W25" s="6">
        <f t="shared" si="5"/>
        <v>6.0604781339638514</v>
      </c>
      <c r="X25" s="6">
        <f t="shared" si="5"/>
        <v>6.1657068949734928</v>
      </c>
      <c r="Y25" s="6">
        <f t="shared" si="5"/>
        <v>6.3048992029971478</v>
      </c>
      <c r="Z25" s="6">
        <f t="shared" si="5"/>
        <v>6.4440915110208028</v>
      </c>
      <c r="AA25" s="6">
        <f t="shared" si="5"/>
        <v>6.5832838190444569</v>
      </c>
      <c r="AB25" s="6">
        <f t="shared" si="5"/>
        <v>6.7224761270681119</v>
      </c>
      <c r="AC25" s="6">
        <f t="shared" si="5"/>
        <v>6.861668435091766</v>
      </c>
      <c r="AD25" s="6">
        <f t="shared" si="5"/>
        <v>6.9744448898626556</v>
      </c>
      <c r="AE25" s="6">
        <f t="shared" si="5"/>
        <v>7.0872213446335453</v>
      </c>
      <c r="AF25" s="6">
        <f t="shared" si="5"/>
        <v>7.1999977994044349</v>
      </c>
      <c r="AG25" s="6">
        <f t="shared" si="5"/>
        <v>7.3127742541753253</v>
      </c>
      <c r="AH25" s="6">
        <f t="shared" si="5"/>
        <v>7.4255507089462149</v>
      </c>
      <c r="AI25" s="6">
        <f t="shared" si="5"/>
        <v>7.5600322530787611</v>
      </c>
      <c r="AJ25" s="6">
        <f t="shared" si="5"/>
        <v>7.6945137972113073</v>
      </c>
      <c r="AK25" s="6">
        <f t="shared" si="5"/>
        <v>7.8289953413438536</v>
      </c>
      <c r="AL25" s="6">
        <f t="shared" si="5"/>
        <v>7.9634768854764006</v>
      </c>
      <c r="AM25" s="6">
        <f t="shared" si="5"/>
        <v>8.0979584296089495</v>
      </c>
      <c r="AN25" s="6">
        <f t="shared" si="5"/>
        <v>8.7111713239981796</v>
      </c>
      <c r="AO25" s="6">
        <f t="shared" si="5"/>
        <v>9.3747420412272984</v>
      </c>
      <c r="AP25" s="6">
        <f t="shared" si="5"/>
        <v>9.3747420412272984</v>
      </c>
      <c r="AQ25" s="6"/>
      <c r="AR25" s="6"/>
      <c r="AS25" s="6"/>
      <c r="AT25" s="6"/>
      <c r="AU25" s="6"/>
      <c r="AV25" s="6"/>
    </row>
    <row r="26" spans="1:48">
      <c r="A26" s="4" t="str">
        <f>IF('[4]TS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'[4]TS BYDem'!$J14</f>
        <v>8.4310585921569263</v>
      </c>
      <c r="K26" s="6">
        <f>L$6/K$6*J26</f>
        <v>8.6823184284684469</v>
      </c>
      <c r="L26" s="6">
        <f t="shared" ref="L26:AP26" si="6">L$6/K$6*K26*L$17</f>
        <v>8.9410662337761764</v>
      </c>
      <c r="M26" s="6">
        <f t="shared" si="6"/>
        <v>9.1998140390839058</v>
      </c>
      <c r="N26" s="6">
        <f t="shared" si="6"/>
        <v>9.4585618443916371</v>
      </c>
      <c r="O26" s="6">
        <f t="shared" si="6"/>
        <v>9.5134459454912754</v>
      </c>
      <c r="P26" s="6">
        <f t="shared" si="6"/>
        <v>9.5683300465909138</v>
      </c>
      <c r="Q26" s="6">
        <f t="shared" si="6"/>
        <v>9.6232141476905539</v>
      </c>
      <c r="R26" s="6">
        <f t="shared" si="6"/>
        <v>9.6780982487901923</v>
      </c>
      <c r="S26" s="6">
        <f t="shared" si="6"/>
        <v>9.7329823498898289</v>
      </c>
      <c r="T26" s="6">
        <f t="shared" si="6"/>
        <v>9.9145903321530771</v>
      </c>
      <c r="U26" s="6">
        <f t="shared" si="6"/>
        <v>10.096198314416323</v>
      </c>
      <c r="V26" s="6">
        <f t="shared" si="6"/>
        <v>10.277806296679572</v>
      </c>
      <c r="W26" s="6">
        <f t="shared" si="6"/>
        <v>10.45941427894282</v>
      </c>
      <c r="X26" s="6">
        <f t="shared" si="6"/>
        <v>10.641022261206066</v>
      </c>
      <c r="Y26" s="6">
        <f t="shared" si="6"/>
        <v>10.881245884141475</v>
      </c>
      <c r="Z26" s="6">
        <f t="shared" si="6"/>
        <v>11.121469507076885</v>
      </c>
      <c r="AA26" s="6">
        <f t="shared" si="6"/>
        <v>11.361693130012291</v>
      </c>
      <c r="AB26" s="6">
        <f t="shared" si="6"/>
        <v>11.601916752947702</v>
      </c>
      <c r="AC26" s="6">
        <f t="shared" si="6"/>
        <v>11.84214037588311</v>
      </c>
      <c r="AD26" s="6">
        <f t="shared" si="6"/>
        <v>12.03677446832355</v>
      </c>
      <c r="AE26" s="6">
        <f t="shared" si="6"/>
        <v>12.231408560763992</v>
      </c>
      <c r="AF26" s="6">
        <f t="shared" si="6"/>
        <v>12.426042653204433</v>
      </c>
      <c r="AG26" s="6">
        <f t="shared" si="6"/>
        <v>12.620676745644875</v>
      </c>
      <c r="AH26" s="6">
        <f t="shared" si="6"/>
        <v>12.815310838085317</v>
      </c>
      <c r="AI26" s="6">
        <f t="shared" si="6"/>
        <v>13.047404437280312</v>
      </c>
      <c r="AJ26" s="6">
        <f t="shared" si="6"/>
        <v>13.279498036475307</v>
      </c>
      <c r="AK26" s="6">
        <f t="shared" si="6"/>
        <v>13.511591635670301</v>
      </c>
      <c r="AL26" s="6">
        <f t="shared" si="6"/>
        <v>13.743685234865296</v>
      </c>
      <c r="AM26" s="6">
        <f t="shared" si="6"/>
        <v>13.975778834060296</v>
      </c>
      <c r="AN26" s="6">
        <f t="shared" si="6"/>
        <v>15.034086043793863</v>
      </c>
      <c r="AO26" s="6">
        <f t="shared" si="6"/>
        <v>16.179302787664053</v>
      </c>
      <c r="AP26" s="6">
        <f t="shared" si="6"/>
        <v>16.179302787664053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0.199999999999999"/>
  <cols>
    <col min="1" max="1" width="12.109375" style="18" customWidth="1"/>
    <col min="2" max="2" width="9" style="18"/>
    <col min="3" max="3" width="10.88671875" style="18" customWidth="1"/>
    <col min="4" max="4" width="27" style="18" customWidth="1"/>
    <col min="5" max="5" width="10" style="18" customWidth="1"/>
    <col min="6" max="6" width="28.109375" style="18" customWidth="1"/>
    <col min="7" max="16384" width="9" style="18"/>
  </cols>
  <sheetData>
    <row r="1" spans="1:7">
      <c r="A1" s="16" t="s">
        <v>29</v>
      </c>
      <c r="B1" s="18" t="s">
        <v>18</v>
      </c>
    </row>
    <row r="2" spans="1:7">
      <c r="A2" s="18" t="s">
        <v>17</v>
      </c>
    </row>
    <row r="3" spans="1:7" ht="18.75" customHeight="1">
      <c r="A3" s="18" t="s">
        <v>17</v>
      </c>
    </row>
    <row r="4" spans="1:7">
      <c r="A4" s="18" t="s">
        <v>17</v>
      </c>
    </row>
    <row r="5" spans="1:7">
      <c r="A5" s="18" t="s">
        <v>17</v>
      </c>
    </row>
    <row r="6" spans="1:7">
      <c r="A6" s="18" t="s">
        <v>17</v>
      </c>
    </row>
    <row r="7" spans="1:7">
      <c r="A7" s="18" t="s">
        <v>17</v>
      </c>
      <c r="B7" s="16" t="s">
        <v>31</v>
      </c>
      <c r="C7" s="26" t="s">
        <v>32</v>
      </c>
      <c r="D7" s="16" t="s">
        <v>33</v>
      </c>
      <c r="E7" s="16" t="s">
        <v>34</v>
      </c>
      <c r="F7" s="16" t="s">
        <v>35</v>
      </c>
      <c r="G7" s="16" t="s">
        <v>36</v>
      </c>
    </row>
    <row r="8" spans="1:7">
      <c r="A8" s="18" t="s">
        <v>17</v>
      </c>
      <c r="B8" s="16" t="s">
        <v>37</v>
      </c>
      <c r="C8" s="26"/>
      <c r="D8" s="16"/>
      <c r="E8" s="16"/>
      <c r="F8" s="16"/>
      <c r="G8" s="16"/>
    </row>
    <row r="9" spans="1:7">
      <c r="A9" s="27" t="str">
        <f>[5]ITEMS_Comm!A35</f>
        <v>*</v>
      </c>
      <c r="B9" s="19" t="str">
        <f>[5]ITEMS_Comm!B35</f>
        <v>E</v>
      </c>
      <c r="C9" s="27" t="str">
        <f>[5]ITEMS_Comm!C35</f>
        <v/>
      </c>
      <c r="D9" s="27" t="str">
        <f>[5]ITEMS_Comm!D35</f>
        <v/>
      </c>
      <c r="E9" s="19" t="str">
        <f>[5]ITEMS_Comm!E35</f>
        <v>PJ</v>
      </c>
      <c r="F9" s="19" t="str">
        <f>[5]ITEMS_Comm!F35</f>
        <v>COM,NRG,ANNUAL,FOSSIL</v>
      </c>
    </row>
    <row r="10" spans="1:7">
      <c r="A10" s="27" t="str">
        <f>[5]ITEMS_Comm!A36</f>
        <v>*</v>
      </c>
      <c r="B10" s="19" t="str">
        <f>[5]ITEMS_Comm!B36</f>
        <v>Demand Commodities</v>
      </c>
      <c r="C10" s="27">
        <f>[5]ITEMS_Comm!C36</f>
        <v>0</v>
      </c>
      <c r="D10" s="27">
        <f>[5]ITEMS_Comm!D36</f>
        <v>0</v>
      </c>
      <c r="E10" s="19">
        <f>[5]ITEMS_Comm!E36</f>
        <v>0</v>
      </c>
      <c r="F10" s="19">
        <f>[5]ITEMS_Comm!F36</f>
        <v>0</v>
      </c>
    </row>
    <row r="11" spans="1:7">
      <c r="A11" s="27" t="str">
        <f>[5]ITEMS_Comm!A37</f>
        <v/>
      </c>
      <c r="B11" s="19" t="str">
        <f>[5]ITEMS_Comm!B37</f>
        <v>E</v>
      </c>
      <c r="C11" s="27" t="str">
        <f>[5]ITEMS_Comm!C37</f>
        <v>IMIK</v>
      </c>
      <c r="D11" s="27" t="str">
        <f>[5]ITEMS_Comm!D37</f>
        <v>Industry-Mining-Elec Heating - Electricity</v>
      </c>
      <c r="E11" s="19" t="str">
        <f>[5]ITEMS_Comm!E37</f>
        <v>PJ</v>
      </c>
      <c r="F11" s="19" t="str">
        <f>[5]ITEMS_Comm!F37</f>
        <v>COM,DEM,ANNUAL,RES</v>
      </c>
    </row>
    <row r="12" spans="1:7">
      <c r="A12" s="27" t="str">
        <f>[5]ITEMS_Comm!A38</f>
        <v/>
      </c>
      <c r="B12" s="19" t="str">
        <f>[5]ITEMS_Comm!B38</f>
        <v>E</v>
      </c>
      <c r="C12" s="27" t="str">
        <f>[5]ITEMS_Comm!C38</f>
        <v>IMIA</v>
      </c>
      <c r="D12" s="27" t="str">
        <f>[5]ITEMS_Comm!D38</f>
        <v>Industry-Mining-Compressed air - Electricity</v>
      </c>
      <c r="E12" s="19" t="str">
        <f>[5]ITEMS_Comm!E38</f>
        <v>PJ</v>
      </c>
      <c r="F12" s="19" t="str">
        <f>[5]ITEMS_Comm!F38</f>
        <v>COM,DEM,ANNUAL,RES</v>
      </c>
    </row>
    <row r="13" spans="1:7">
      <c r="A13" s="27" t="str">
        <f>[5]ITEMS_Comm!A39</f>
        <v/>
      </c>
      <c r="B13" s="19" t="str">
        <f>[5]ITEMS_Comm!B39</f>
        <v>E</v>
      </c>
      <c r="C13" s="27" t="str">
        <f>[5]ITEMS_Comm!C39</f>
        <v>IMIL</v>
      </c>
      <c r="D13" s="27" t="str">
        <f>[5]ITEMS_Comm!D39</f>
        <v>Industry-Mining-Lighting - Electricity</v>
      </c>
      <c r="E13" s="19" t="str">
        <f>[5]ITEMS_Comm!E39</f>
        <v>PJ</v>
      </c>
      <c r="F13" s="19" t="str">
        <f>[5]ITEMS_Comm!F39</f>
        <v>COM,DEM,ANNUAL,RES</v>
      </c>
    </row>
    <row r="14" spans="1:7">
      <c r="A14" s="27" t="str">
        <f>[5]ITEMS_Comm!A40</f>
        <v/>
      </c>
      <c r="B14" s="19" t="str">
        <f>[5]ITEMS_Comm!B40</f>
        <v>E</v>
      </c>
      <c r="C14" s="27" t="str">
        <f>[5]ITEMS_Comm!C40</f>
        <v>IMIC</v>
      </c>
      <c r="D14" s="27" t="str">
        <f>[5]ITEMS_Comm!D40</f>
        <v>Industry-Mining-Cooling - Electricity</v>
      </c>
      <c r="E14" s="19" t="str">
        <f>[5]ITEMS_Comm!E40</f>
        <v>PJ</v>
      </c>
      <c r="F14" s="19" t="str">
        <f>[5]ITEMS_Comm!F40</f>
        <v>COM,DEM,ANNUAL,RES</v>
      </c>
    </row>
    <row r="15" spans="1:7">
      <c r="A15" s="27" t="str">
        <f>[5]ITEMS_Comm!A41</f>
        <v/>
      </c>
      <c r="B15" s="19" t="str">
        <f>[5]ITEMS_Comm!B41</f>
        <v>E</v>
      </c>
      <c r="C15" s="27" t="str">
        <f>[5]ITEMS_Comm!C41</f>
        <v>IMIH</v>
      </c>
      <c r="D15" s="27" t="str">
        <f>[5]ITEMS_Comm!D41</f>
        <v>Industry-Mining-HVAC - Electricity</v>
      </c>
      <c r="E15" s="19" t="str">
        <f>[5]ITEMS_Comm!E41</f>
        <v>PJ</v>
      </c>
      <c r="F15" s="19" t="str">
        <f>[5]ITEMS_Comm!F41</f>
        <v>COM,DEM,ANNUAL,RES</v>
      </c>
    </row>
    <row r="16" spans="1:7">
      <c r="A16" s="27" t="str">
        <f>[5]ITEMS_Comm!A42</f>
        <v/>
      </c>
      <c r="B16" s="19" t="str">
        <f>[5]ITEMS_Comm!B42</f>
        <v>E</v>
      </c>
      <c r="C16" s="27" t="str">
        <f>[5]ITEMS_Comm!C42</f>
        <v>IMIP</v>
      </c>
      <c r="D16" s="27" t="str">
        <f>[5]ITEMS_Comm!D42</f>
        <v>Industry-Mining-Pumping - Electricity</v>
      </c>
      <c r="E16" s="19" t="str">
        <f>[5]ITEMS_Comm!E42</f>
        <v>PJ</v>
      </c>
      <c r="F16" s="19" t="str">
        <f>[5]ITEMS_Comm!F42</f>
        <v>COM,DEM,ANNUAL,RES</v>
      </c>
    </row>
    <row r="17" spans="1:6">
      <c r="A17" s="27" t="str">
        <f>[5]ITEMS_Comm!A43</f>
        <v/>
      </c>
      <c r="B17" s="19" t="str">
        <f>[5]ITEMS_Comm!B43</f>
        <v>E</v>
      </c>
      <c r="C17" s="27" t="str">
        <f>[5]ITEMS_Comm!C43</f>
        <v>IMIF</v>
      </c>
      <c r="D17" s="27" t="str">
        <f>[5]ITEMS_Comm!D43</f>
        <v>Industry-Mining-Fans - Electricity</v>
      </c>
      <c r="E17" s="19" t="str">
        <f>[5]ITEMS_Comm!E43</f>
        <v>PJ</v>
      </c>
      <c r="F17" s="19" t="str">
        <f>[5]ITEMS_Comm!F43</f>
        <v>COM,DEM,ANNUAL,RES</v>
      </c>
    </row>
    <row r="18" spans="1:6">
      <c r="A18" s="27" t="str">
        <f>[5]ITEMS_Comm!A44</f>
        <v/>
      </c>
      <c r="B18" s="19" t="str">
        <f>[5]ITEMS_Comm!B44</f>
        <v>E</v>
      </c>
      <c r="C18" s="27" t="str">
        <f>[5]ITEMS_Comm!C44</f>
        <v>IMIO</v>
      </c>
      <c r="D18" s="27" t="str">
        <f>[5]ITEMS_Comm!D44</f>
        <v>Industry-Mining-Other motive - Electricity</v>
      </c>
      <c r="E18" s="19" t="str">
        <f>[5]ITEMS_Comm!E44</f>
        <v>PJ</v>
      </c>
      <c r="F18" s="19" t="str">
        <f>[5]ITEMS_Comm!F44</f>
        <v>COM,DEM,ANNUAL,RES</v>
      </c>
    </row>
    <row r="19" spans="1:6">
      <c r="A19" s="27" t="str">
        <f>[5]ITEMS_Comm!A45</f>
        <v/>
      </c>
      <c r="B19" s="19" t="str">
        <f>[5]ITEMS_Comm!B45</f>
        <v>E</v>
      </c>
      <c r="C19" s="27" t="str">
        <f>[5]ITEMS_Comm!C45</f>
        <v>IMIE</v>
      </c>
      <c r="D19" s="27" t="str">
        <f>[5]ITEMS_Comm!D45</f>
        <v>Industry-Mining-Electrochemical - Electricity</v>
      </c>
      <c r="E19" s="19" t="str">
        <f>[5]ITEMS_Comm!E45</f>
        <v>PJ</v>
      </c>
      <c r="F19" s="19" t="str">
        <f>[5]ITEMS_Comm!F45</f>
        <v>COM,DEM,ANNUAL,RES</v>
      </c>
    </row>
    <row r="20" spans="1:6">
      <c r="A20" s="27" t="str">
        <f>[5]ITEMS_Comm!A46</f>
        <v>*</v>
      </c>
      <c r="B20" s="19" t="str">
        <f>[5]ITEMS_Comm!B46</f>
        <v>E</v>
      </c>
      <c r="C20" s="27">
        <f>[5]ITEMS_Comm!C46</f>
        <v>0</v>
      </c>
      <c r="D20" s="27" t="str">
        <f>[5]ITEMS_Comm!D46</f>
        <v/>
      </c>
      <c r="E20" s="19" t="str">
        <f>[5]ITEMS_Comm!E46</f>
        <v>PJ</v>
      </c>
      <c r="F20" s="19" t="str">
        <f>[5]ITEMS_Comm!F46</f>
        <v>COM,DEM,ANNUAL,RES</v>
      </c>
    </row>
    <row r="21" spans="1:6">
      <c r="A21" s="27" t="str">
        <f>[5]ITEMS_Comm!A47</f>
        <v/>
      </c>
      <c r="B21" s="19" t="str">
        <f>[5]ITEMS_Comm!B47</f>
        <v>E</v>
      </c>
      <c r="C21" s="27" t="str">
        <f>[5]ITEMS_Comm!C47</f>
        <v>IMIS</v>
      </c>
      <c r="D21" s="27" t="str">
        <f>[5]ITEMS_Comm!D47</f>
        <v>Industry-Mining-boiler/process heating - Coal - Existing</v>
      </c>
      <c r="E21" s="19" t="str">
        <f>[5]ITEMS_Comm!E47</f>
        <v>PJ</v>
      </c>
      <c r="F21" s="19" t="str">
        <f>[5]ITEMS_Comm!F47</f>
        <v>COM,DEM,ANNUAL,RES</v>
      </c>
    </row>
    <row r="22" spans="1:6">
      <c r="A22" s="27" t="str">
        <f>[5]ITEMS_Comm!A48</f>
        <v/>
      </c>
      <c r="B22" s="19" t="str">
        <f>[5]ITEMS_Comm!B48</f>
        <v>E</v>
      </c>
      <c r="C22" s="27" t="str">
        <f>[5]ITEMS_Comm!C48</f>
        <v>IMIS</v>
      </c>
      <c r="D22" s="27" t="str">
        <f>[5]ITEMS_Comm!D48</f>
        <v>Industry-Mining-boiler/process heating - Gas - Existing</v>
      </c>
      <c r="E22" s="19" t="str">
        <f>[5]ITEMS_Comm!E48</f>
        <v>PJ</v>
      </c>
      <c r="F22" s="19" t="str">
        <f>[5]ITEMS_Comm!F48</f>
        <v>COM,DEM,ANNUAL,RES</v>
      </c>
    </row>
    <row r="23" spans="1:6">
      <c r="A23" s="27" t="str">
        <f>[5]ITEMS_Comm!A49</f>
        <v/>
      </c>
      <c r="B23" s="19" t="str">
        <f>[5]ITEMS_Comm!B49</f>
        <v>E</v>
      </c>
      <c r="C23" s="27" t="str">
        <f>[5]ITEMS_Comm!C49</f>
        <v>IMIS</v>
      </c>
      <c r="D23" s="27" t="str">
        <f>[5]ITEMS_Comm!D49</f>
        <v>Industry-Mining-boiler/process heating - Oil HFO - Existing</v>
      </c>
      <c r="E23" s="19" t="str">
        <f>[5]ITEMS_Comm!E49</f>
        <v>PJ</v>
      </c>
      <c r="F23" s="19" t="str">
        <f>[5]ITEMS_Comm!F49</f>
        <v>COM,DEM,ANNUAL,RES</v>
      </c>
    </row>
    <row r="24" spans="1:6">
      <c r="A24" s="27" t="str">
        <f>[5]ITEMS_Comm!A50</f>
        <v/>
      </c>
      <c r="B24" s="19" t="str">
        <f>[5]ITEMS_Comm!B50</f>
        <v>E</v>
      </c>
      <c r="C24" s="27" t="str">
        <f>[5]ITEMS_Comm!C50</f>
        <v>IMIS</v>
      </c>
      <c r="D24" s="27" t="str">
        <f>[5]ITEMS_Comm!D50</f>
        <v>Industry-Mining-boiler/process heating - Oil LPG - Existing</v>
      </c>
      <c r="E24" s="19" t="str">
        <f>[5]ITEMS_Comm!E50</f>
        <v>PJ</v>
      </c>
      <c r="F24" s="19" t="str">
        <f>[5]ITEMS_Comm!F50</f>
        <v>COM,DEM,ANNUAL,RES</v>
      </c>
    </row>
    <row r="25" spans="1:6">
      <c r="A25" s="27" t="str">
        <f>[5]ITEMS_Comm!A51</f>
        <v/>
      </c>
      <c r="B25" s="19" t="str">
        <f>[5]ITEMS_Comm!B51</f>
        <v>E</v>
      </c>
      <c r="C25" s="27" t="str">
        <f>[5]ITEMS_Comm!C51</f>
        <v>IMIS</v>
      </c>
      <c r="D25" s="27" t="str">
        <f>[5]ITEMS_Comm!D51</f>
        <v>Industry-Mining-boiler/process heating - Electricity - Existing</v>
      </c>
      <c r="E25" s="19" t="str">
        <f>[5]ITEMS_Comm!E51</f>
        <v>PJ</v>
      </c>
      <c r="F25" s="19" t="str">
        <f>[5]ITEMS_Comm!F51</f>
        <v>COM,DEM,ANNUAL,RES</v>
      </c>
    </row>
    <row r="26" spans="1:6">
      <c r="A26" s="27" t="str">
        <f>[5]ITEMS_Comm!A52</f>
        <v/>
      </c>
      <c r="B26" s="19" t="str">
        <f>[5]ITEMS_Comm!B52</f>
        <v>E</v>
      </c>
      <c r="C26" s="27" t="str">
        <f>[5]ITEMS_Comm!C52</f>
        <v>IMIS</v>
      </c>
      <c r="D26" s="27" t="str">
        <f>[5]ITEMS_Comm!D52</f>
        <v>Industry-Mining-boiler/process heating - Waste - Existing</v>
      </c>
      <c r="E26" s="19" t="str">
        <f>[5]ITEMS_Comm!E52</f>
        <v>PJ</v>
      </c>
      <c r="F26" s="19" t="str">
        <f>[5]ITEMS_Comm!F52</f>
        <v>COM,DEM,ANNUAL,RES</v>
      </c>
    </row>
    <row r="27" spans="1:6">
      <c r="A27" s="27" t="str">
        <f>[5]ITEMS_Comm!A53</f>
        <v>*</v>
      </c>
      <c r="B27" s="19" t="str">
        <f>[5]ITEMS_Comm!B53</f>
        <v>E</v>
      </c>
      <c r="C27" s="27">
        <f>[5]ITEMS_Comm!C53</f>
        <v>0</v>
      </c>
      <c r="D27" s="27" t="str">
        <f>[5]ITEMS_Comm!D53</f>
        <v/>
      </c>
      <c r="E27" s="19" t="str">
        <f>[5]ITEMS_Comm!E53</f>
        <v>PJ</v>
      </c>
      <c r="F27" s="19" t="str">
        <f>[5]ITEMS_Comm!F53</f>
        <v>COM,DEM,ANNUAL,RES</v>
      </c>
    </row>
    <row r="28" spans="1:6">
      <c r="A28" s="27" t="str">
        <f>[5]ITEMS_Comm!A54</f>
        <v/>
      </c>
      <c r="B28" s="19" t="str">
        <f>[5]ITEMS_Comm!B54</f>
        <v>E</v>
      </c>
      <c r="C28" s="27" t="str">
        <f>[5]ITEMS_Comm!C54</f>
        <v>IMIR</v>
      </c>
      <c r="D28" s="27" t="str">
        <f>[5]ITEMS_Comm!D54</f>
        <v>Industry-Mining-Transport - Oil Diesel - Existing</v>
      </c>
      <c r="E28" s="19" t="str">
        <f>[5]ITEMS_Comm!E54</f>
        <v>PJ</v>
      </c>
      <c r="F28" s="19" t="str">
        <f>[5]ITEMS_Comm!F54</f>
        <v>COM,DEM,ANNUAL,RES</v>
      </c>
    </row>
    <row r="29" spans="1:6">
      <c r="A29" s="27" t="str">
        <f>[5]ITEMS_Comm!A55</f>
        <v>*</v>
      </c>
      <c r="B29" s="19" t="str">
        <f>[5]ITEMS_Comm!B55</f>
        <v>E</v>
      </c>
      <c r="C29" s="27" t="str">
        <f>[5]ITEMS_Comm!C55</f>
        <v>Useful Energy Service</v>
      </c>
      <c r="D29" s="27" t="str">
        <f>[5]ITEMS_Comm!D55</f>
        <v/>
      </c>
      <c r="E29" s="19" t="str">
        <f>[5]ITEMS_Comm!E55</f>
        <v>PJ</v>
      </c>
      <c r="F29" s="19" t="str">
        <f>[5]ITEMS_Comm!F55</f>
        <v>COM,DEM,ANNUAL,RES</v>
      </c>
    </row>
    <row r="30" spans="1:6">
      <c r="A30" s="27" t="str">
        <f>[5]ITEMS_Comm!A56</f>
        <v>*</v>
      </c>
      <c r="B30" s="19" t="str">
        <f>[5]ITEMS_Comm!B56</f>
        <v>E</v>
      </c>
      <c r="C30" s="27">
        <f>[5]ITEMS_Comm!C56</f>
        <v>0</v>
      </c>
      <c r="D30" s="27" t="str">
        <f>[5]ITEMS_Comm!D56</f>
        <v/>
      </c>
      <c r="E30" s="19" t="str">
        <f>[5]ITEMS_Comm!E56</f>
        <v>PJ</v>
      </c>
      <c r="F30" s="19" t="str">
        <f>[5]ITEMS_Comm!F56</f>
        <v>COM,DEM,ANNUAL,RES</v>
      </c>
    </row>
    <row r="31" spans="1:6">
      <c r="A31" s="27" t="str">
        <f>[5]ITEMS_Comm!A57</f>
        <v>*</v>
      </c>
      <c r="B31" s="19" t="str">
        <f>[5]ITEMS_Comm!B57</f>
        <v>E</v>
      </c>
      <c r="C31" s="27">
        <f>[5]ITEMS_Comm!C57</f>
        <v>2</v>
      </c>
      <c r="D31" s="27" t="str">
        <f>[5]ITEMS_Comm!D57</f>
        <v/>
      </c>
      <c r="E31" s="19" t="str">
        <f>[5]ITEMS_Comm!E57</f>
        <v>PJ</v>
      </c>
      <c r="F31" s="19" t="str">
        <f>[5]ITEMS_Comm!F57</f>
        <v>COM,DEM,ANNUAL,RES</v>
      </c>
    </row>
    <row r="32" spans="1:6">
      <c r="A32" s="27" t="str">
        <f>[5]ITEMS_Comm!A58</f>
        <v>*</v>
      </c>
      <c r="B32" s="19" t="str">
        <f>[5]ITEMS_Comm!B58</f>
        <v>E</v>
      </c>
      <c r="C32" s="27" t="str">
        <f>[5]ITEMS_Comm!C58</f>
        <v>IFAK</v>
      </c>
      <c r="D32" s="27" t="str">
        <f>[5]ITEMS_Comm!D58</f>
        <v/>
      </c>
      <c r="E32" s="19" t="str">
        <f>[5]ITEMS_Comm!E58</f>
        <v>PJ</v>
      </c>
      <c r="F32" s="19" t="str">
        <f>[5]ITEMS_Comm!F58</f>
        <v>COM,DEM,ANNUAL,RES</v>
      </c>
    </row>
    <row r="33" spans="1:6">
      <c r="A33" s="27" t="str">
        <f>[5]ITEMS_Comm!A59</f>
        <v>*</v>
      </c>
      <c r="B33" s="19" t="str">
        <f>[5]ITEMS_Comm!B59</f>
        <v>E</v>
      </c>
      <c r="C33" s="27" t="str">
        <f>[5]ITEMS_Comm!C59</f>
        <v>IFAA</v>
      </c>
      <c r="D33" s="27" t="str">
        <f>[5]ITEMS_Comm!D59</f>
        <v/>
      </c>
      <c r="E33" s="19" t="str">
        <f>[5]ITEMS_Comm!E59</f>
        <v>PJ</v>
      </c>
      <c r="F33" s="19" t="str">
        <f>[5]ITEMS_Comm!F59</f>
        <v>COM,DEM,ANNUAL,RES</v>
      </c>
    </row>
    <row r="34" spans="1:6">
      <c r="A34" s="27" t="str">
        <f>[5]ITEMS_Comm!A60</f>
        <v>*</v>
      </c>
      <c r="B34" s="19" t="str">
        <f>[5]ITEMS_Comm!B60</f>
        <v>E</v>
      </c>
      <c r="C34" s="27" t="str">
        <f>[5]ITEMS_Comm!C60</f>
        <v>IFAL</v>
      </c>
      <c r="D34" s="27" t="str">
        <f>[5]ITEMS_Comm!D60</f>
        <v/>
      </c>
      <c r="E34" s="19" t="str">
        <f>[5]ITEMS_Comm!E60</f>
        <v>PJ</v>
      </c>
      <c r="F34" s="19" t="str">
        <f>[5]ITEMS_Comm!F60</f>
        <v>COM,DEM,ANNUAL,RES</v>
      </c>
    </row>
    <row r="35" spans="1:6">
      <c r="A35" s="27" t="str">
        <f>[5]ITEMS_Comm!A61</f>
        <v>*</v>
      </c>
      <c r="B35" s="19" t="str">
        <f>[5]ITEMS_Comm!B61</f>
        <v>E</v>
      </c>
      <c r="C35" s="27" t="str">
        <f>[5]ITEMS_Comm!C61</f>
        <v>IFAC</v>
      </c>
      <c r="D35" s="27" t="str">
        <f>[5]ITEMS_Comm!D61</f>
        <v/>
      </c>
      <c r="E35" s="19" t="str">
        <f>[5]ITEMS_Comm!E61</f>
        <v>PJ</v>
      </c>
      <c r="F35" s="19" t="str">
        <f>[5]ITEMS_Comm!F61</f>
        <v>COM,DEM,ANNUAL,RES</v>
      </c>
    </row>
    <row r="36" spans="1:6">
      <c r="A36" s="27" t="str">
        <f>[5]ITEMS_Comm!A62</f>
        <v>*</v>
      </c>
      <c r="B36" s="19" t="str">
        <f>[5]ITEMS_Comm!B62</f>
        <v>E</v>
      </c>
      <c r="C36" s="27" t="str">
        <f>[5]ITEMS_Comm!C62</f>
        <v>IFAH</v>
      </c>
      <c r="D36" s="27" t="str">
        <f>[5]ITEMS_Comm!D62</f>
        <v/>
      </c>
      <c r="E36" s="19" t="str">
        <f>[5]ITEMS_Comm!E62</f>
        <v>PJ</v>
      </c>
      <c r="F36" s="19" t="str">
        <f>[5]ITEMS_Comm!F62</f>
        <v>COM,DEM,ANNUAL,RES</v>
      </c>
    </row>
    <row r="37" spans="1:6">
      <c r="A37" s="27" t="str">
        <f>[5]ITEMS_Comm!A63</f>
        <v>*</v>
      </c>
      <c r="B37" s="19" t="str">
        <f>[5]ITEMS_Comm!B63</f>
        <v>E</v>
      </c>
      <c r="C37" s="27" t="str">
        <f>[5]ITEMS_Comm!C63</f>
        <v>IFAP</v>
      </c>
      <c r="D37" s="27" t="str">
        <f>[5]ITEMS_Comm!D63</f>
        <v/>
      </c>
      <c r="E37" s="19" t="str">
        <f>[5]ITEMS_Comm!E63</f>
        <v>PJ</v>
      </c>
      <c r="F37" s="19" t="str">
        <f>[5]ITEMS_Comm!F63</f>
        <v>COM,DEM,ANNUAL,RES</v>
      </c>
    </row>
    <row r="38" spans="1:6">
      <c r="A38" s="27" t="str">
        <f>[5]ITEMS_Comm!A64</f>
        <v>*</v>
      </c>
      <c r="B38" s="19" t="str">
        <f>[5]ITEMS_Comm!B64</f>
        <v>E</v>
      </c>
      <c r="C38" s="27" t="str">
        <f>[5]ITEMS_Comm!C64</f>
        <v>IFAF</v>
      </c>
      <c r="D38" s="27" t="str">
        <f>[5]ITEMS_Comm!D64</f>
        <v/>
      </c>
      <c r="E38" s="19" t="str">
        <f>[5]ITEMS_Comm!E64</f>
        <v>PJ</v>
      </c>
      <c r="F38" s="19" t="str">
        <f>[5]ITEMS_Comm!F64</f>
        <v>COM,DEM,ANNUAL,RES</v>
      </c>
    </row>
    <row r="39" spans="1:6">
      <c r="A39" s="27" t="str">
        <f>[5]ITEMS_Comm!A65</f>
        <v>*</v>
      </c>
      <c r="B39" s="19" t="str">
        <f>[5]ITEMS_Comm!B65</f>
        <v>E</v>
      </c>
      <c r="C39" s="27" t="str">
        <f>[5]ITEMS_Comm!C65</f>
        <v>IFAO</v>
      </c>
      <c r="D39" s="27" t="str">
        <f>[5]ITEMS_Comm!D65</f>
        <v/>
      </c>
      <c r="E39" s="19" t="str">
        <f>[5]ITEMS_Comm!E65</f>
        <v>PJ</v>
      </c>
      <c r="F39" s="19" t="str">
        <f>[5]ITEMS_Comm!F65</f>
        <v>COM,DEM,ANNUAL,RES</v>
      </c>
    </row>
    <row r="40" spans="1:6">
      <c r="A40" s="27" t="str">
        <f>[5]ITEMS_Comm!A66</f>
        <v>*</v>
      </c>
      <c r="B40" s="19" t="str">
        <f>[5]ITEMS_Comm!B66</f>
        <v>E</v>
      </c>
      <c r="C40" s="27" t="str">
        <f>[5]ITEMS_Comm!C66</f>
        <v>IFAE</v>
      </c>
      <c r="D40" s="27" t="str">
        <f>[5]ITEMS_Comm!D66</f>
        <v/>
      </c>
      <c r="E40" s="19" t="str">
        <f>[5]ITEMS_Comm!E66</f>
        <v>PJ</v>
      </c>
      <c r="F40" s="19" t="str">
        <f>[5]ITEMS_Comm!F66</f>
        <v>COM,DEM,ANNUAL,RES</v>
      </c>
    </row>
    <row r="41" spans="1:6">
      <c r="A41" s="27" t="str">
        <f>[5]ITEMS_Comm!A67</f>
        <v>*</v>
      </c>
      <c r="B41" s="19" t="str">
        <f>[5]ITEMS_Comm!B67</f>
        <v>E</v>
      </c>
      <c r="C41" s="27">
        <f>[5]ITEMS_Comm!C67</f>
        <v>0</v>
      </c>
      <c r="D41" s="27" t="str">
        <f>[5]ITEMS_Comm!D67</f>
        <v/>
      </c>
      <c r="E41" s="19" t="str">
        <f>[5]ITEMS_Comm!E67</f>
        <v>PJ</v>
      </c>
      <c r="F41" s="19" t="str">
        <f>[5]ITEMS_Comm!F67</f>
        <v>COM,DEM,ANNUAL,RES</v>
      </c>
    </row>
    <row r="42" spans="1:6">
      <c r="A42" s="27" t="str">
        <f>[5]ITEMS_Comm!A68</f>
        <v>*</v>
      </c>
      <c r="B42" s="19" t="str">
        <f>[5]ITEMS_Comm!B68</f>
        <v>E</v>
      </c>
      <c r="C42" s="27" t="str">
        <f>[5]ITEMS_Comm!C68</f>
        <v>IFAS</v>
      </c>
      <c r="D42" s="27" t="str">
        <f>[5]ITEMS_Comm!D68</f>
        <v/>
      </c>
      <c r="E42" s="19" t="str">
        <f>[5]ITEMS_Comm!E68</f>
        <v>PJ</v>
      </c>
      <c r="F42" s="19" t="str">
        <f>[5]ITEMS_Comm!F68</f>
        <v>COM,DEM,ANNUAL,RES</v>
      </c>
    </row>
    <row r="43" spans="1:6">
      <c r="A43" s="27" t="str">
        <f>[5]ITEMS_Comm!A69</f>
        <v>*</v>
      </c>
      <c r="B43" s="19" t="str">
        <f>[5]ITEMS_Comm!B69</f>
        <v>E</v>
      </c>
      <c r="C43" s="27" t="str">
        <f>[5]ITEMS_Comm!C69</f>
        <v>IFAS</v>
      </c>
      <c r="D43" s="27" t="str">
        <f>[5]ITEMS_Comm!D69</f>
        <v/>
      </c>
      <c r="E43" s="19" t="str">
        <f>[5]ITEMS_Comm!E69</f>
        <v>PJ</v>
      </c>
      <c r="F43" s="19" t="str">
        <f>[5]ITEMS_Comm!F69</f>
        <v>COM,DEM,ANNUAL,RES</v>
      </c>
    </row>
    <row r="44" spans="1:6">
      <c r="A44" s="27" t="str">
        <f>[5]ITEMS_Comm!A70</f>
        <v>*</v>
      </c>
      <c r="B44" s="19" t="str">
        <f>[5]ITEMS_Comm!B70</f>
        <v>E</v>
      </c>
      <c r="C44" s="27" t="str">
        <f>[5]ITEMS_Comm!C70</f>
        <v>IFAS</v>
      </c>
      <c r="D44" s="27" t="str">
        <f>[5]ITEMS_Comm!D70</f>
        <v/>
      </c>
      <c r="E44" s="19" t="str">
        <f>[5]ITEMS_Comm!E70</f>
        <v>PJ</v>
      </c>
      <c r="F44" s="19" t="str">
        <f>[5]ITEMS_Comm!F70</f>
        <v>COM,DEM,ANNUAL,RES</v>
      </c>
    </row>
    <row r="45" spans="1:6">
      <c r="A45" s="27" t="str">
        <f>[5]ITEMS_Comm!A71</f>
        <v>*</v>
      </c>
      <c r="B45" s="19" t="str">
        <f>[5]ITEMS_Comm!B71</f>
        <v>E</v>
      </c>
      <c r="C45" s="27" t="str">
        <f>[5]ITEMS_Comm!C71</f>
        <v>IFAS</v>
      </c>
      <c r="D45" s="27" t="str">
        <f>[5]ITEMS_Comm!D71</f>
        <v/>
      </c>
      <c r="E45" s="19" t="str">
        <f>[5]ITEMS_Comm!E71</f>
        <v>PJ</v>
      </c>
      <c r="F45" s="19" t="str">
        <f>[5]ITEMS_Comm!F71</f>
        <v>COM,DEM,ANNUAL,RES</v>
      </c>
    </row>
    <row r="46" spans="1:6">
      <c r="A46" s="27" t="str">
        <f>[5]ITEMS_Comm!A72</f>
        <v>*</v>
      </c>
      <c r="B46" s="19" t="str">
        <f>[5]ITEMS_Comm!B72</f>
        <v>E</v>
      </c>
      <c r="C46" s="27" t="str">
        <f>[5]ITEMS_Comm!C72</f>
        <v>IFAS</v>
      </c>
      <c r="D46" s="27" t="str">
        <f>[5]ITEMS_Comm!D72</f>
        <v/>
      </c>
      <c r="E46" s="19" t="str">
        <f>[5]ITEMS_Comm!E72</f>
        <v>PJ</v>
      </c>
      <c r="F46" s="19" t="str">
        <f>[5]ITEMS_Comm!F72</f>
        <v>COM,DEM,ANNUAL,RES</v>
      </c>
    </row>
    <row r="47" spans="1:6">
      <c r="A47" s="27" t="str">
        <f>[5]ITEMS_Comm!A73</f>
        <v>*</v>
      </c>
      <c r="B47" s="19" t="str">
        <f>[5]ITEMS_Comm!B73</f>
        <v>E</v>
      </c>
      <c r="C47" s="27" t="str">
        <f>[5]ITEMS_Comm!C73</f>
        <v>IFAS</v>
      </c>
      <c r="D47" s="27" t="str">
        <f>[5]ITEMS_Comm!D73</f>
        <v/>
      </c>
      <c r="E47" s="19" t="str">
        <f>[5]ITEMS_Comm!E73</f>
        <v>PJ</v>
      </c>
      <c r="F47" s="19" t="str">
        <f>[5]ITEMS_Comm!F73</f>
        <v>COM,DEM,ANNUAL,RES</v>
      </c>
    </row>
    <row r="48" spans="1:6">
      <c r="A48" s="27" t="str">
        <f>[5]ITEMS_Comm!A74</f>
        <v>*</v>
      </c>
      <c r="B48" s="19" t="str">
        <f>[5]ITEMS_Comm!B74</f>
        <v>E</v>
      </c>
      <c r="C48" s="27">
        <f>[5]ITEMS_Comm!C74</f>
        <v>0</v>
      </c>
      <c r="D48" s="27" t="str">
        <f>[5]ITEMS_Comm!D74</f>
        <v/>
      </c>
      <c r="E48" s="19" t="str">
        <f>[5]ITEMS_Comm!E74</f>
        <v>PJ</v>
      </c>
      <c r="F48" s="19" t="str">
        <f>[5]ITEMS_Comm!F74</f>
        <v>COM,DEM,ANNUAL,RES</v>
      </c>
    </row>
    <row r="49" spans="1:6">
      <c r="A49" s="27" t="str">
        <f>[5]ITEMS_Comm!A75</f>
        <v>*</v>
      </c>
      <c r="B49" s="19" t="str">
        <f>[5]ITEMS_Comm!B75</f>
        <v>E</v>
      </c>
      <c r="C49" s="27" t="str">
        <f>[5]ITEMS_Comm!C75</f>
        <v>IFAR</v>
      </c>
      <c r="D49" s="27" t="str">
        <f>[5]ITEMS_Comm!D75</f>
        <v/>
      </c>
      <c r="E49" s="19" t="str">
        <f>[5]ITEMS_Comm!E75</f>
        <v>PJ</v>
      </c>
      <c r="F49" s="19" t="str">
        <f>[5]ITEMS_Comm!F75</f>
        <v>COM,DEM,ANNUAL,RES</v>
      </c>
    </row>
    <row r="50" spans="1:6">
      <c r="A50" s="27" t="str">
        <f>[5]ITEMS_Comm!A76</f>
        <v>*</v>
      </c>
      <c r="B50" s="19" t="str">
        <f>[5]ITEMS_Comm!B76</f>
        <v>E</v>
      </c>
      <c r="C50" s="27" t="str">
        <f>[5]ITEMS_Comm!C76</f>
        <v>Useful Energy Service</v>
      </c>
      <c r="D50" s="27" t="str">
        <f>[5]ITEMS_Comm!D76</f>
        <v/>
      </c>
      <c r="E50" s="19" t="str">
        <f>[5]ITEMS_Comm!E76</f>
        <v>PJ</v>
      </c>
      <c r="F50" s="19" t="str">
        <f>[5]ITEMS_Comm!F76</f>
        <v>COM,DEM,ANNUAL,RES</v>
      </c>
    </row>
    <row r="51" spans="1:6">
      <c r="A51" s="27" t="str">
        <f>[5]ITEMS_Comm!A77</f>
        <v>*</v>
      </c>
      <c r="B51" s="19" t="str">
        <f>[5]ITEMS_Comm!B77</f>
        <v>E</v>
      </c>
      <c r="C51" s="27">
        <f>[5]ITEMS_Comm!C77</f>
        <v>0</v>
      </c>
      <c r="D51" s="27" t="str">
        <f>[5]ITEMS_Comm!D77</f>
        <v/>
      </c>
      <c r="E51" s="19" t="str">
        <f>[5]ITEMS_Comm!E77</f>
        <v>PJ</v>
      </c>
      <c r="F51" s="19" t="str">
        <f>[5]ITEMS_Comm!F77</f>
        <v>COM,DEM,ANNUAL,RES</v>
      </c>
    </row>
    <row r="52" spans="1:6">
      <c r="A52" s="27" t="str">
        <f>[5]ITEMS_Comm!A78</f>
        <v>*</v>
      </c>
      <c r="B52" s="19" t="str">
        <f>[5]ITEMS_Comm!B78</f>
        <v>E</v>
      </c>
      <c r="C52" s="27">
        <f>[5]ITEMS_Comm!C78</f>
        <v>2</v>
      </c>
      <c r="D52" s="27" t="str">
        <f>[5]ITEMS_Comm!D78</f>
        <v/>
      </c>
      <c r="E52" s="19" t="str">
        <f>[5]ITEMS_Comm!E78</f>
        <v>PJ</v>
      </c>
      <c r="F52" s="19" t="str">
        <f>[5]ITEMS_Comm!F78</f>
        <v>COM,DEM,ANNUAL,RES</v>
      </c>
    </row>
    <row r="53" spans="1:6">
      <c r="A53" s="27" t="str">
        <f>[5]ITEMS_Comm!A79</f>
        <v>*</v>
      </c>
      <c r="B53" s="19" t="str">
        <f>[5]ITEMS_Comm!B79</f>
        <v>E</v>
      </c>
      <c r="C53" s="27" t="str">
        <f>[5]ITEMS_Comm!C79</f>
        <v>IISK</v>
      </c>
      <c r="D53" s="27" t="str">
        <f>[5]ITEMS_Comm!D79</f>
        <v/>
      </c>
      <c r="E53" s="19" t="str">
        <f>[5]ITEMS_Comm!E79</f>
        <v>PJ</v>
      </c>
      <c r="F53" s="19" t="str">
        <f>[5]ITEMS_Comm!F79</f>
        <v>COM,DEM,ANNUAL,RES</v>
      </c>
    </row>
    <row r="54" spans="1:6">
      <c r="A54" s="27" t="str">
        <f>[5]ITEMS_Comm!A80</f>
        <v>*</v>
      </c>
      <c r="B54" s="19" t="str">
        <f>[5]ITEMS_Comm!B80</f>
        <v>E</v>
      </c>
      <c r="C54" s="27" t="str">
        <f>[5]ITEMS_Comm!C80</f>
        <v>IISA</v>
      </c>
      <c r="D54" s="27" t="str">
        <f>[5]ITEMS_Comm!D80</f>
        <v/>
      </c>
      <c r="E54" s="19" t="str">
        <f>[5]ITEMS_Comm!E80</f>
        <v>PJ</v>
      </c>
      <c r="F54" s="19" t="str">
        <f>[5]ITEMS_Comm!F80</f>
        <v>COM,DEM,ANNUAL,RES</v>
      </c>
    </row>
    <row r="55" spans="1:6">
      <c r="A55" s="27" t="str">
        <f>[5]ITEMS_Comm!A81</f>
        <v>*</v>
      </c>
      <c r="B55" s="19" t="str">
        <f>[5]ITEMS_Comm!B81</f>
        <v>E</v>
      </c>
      <c r="C55" s="27" t="str">
        <f>[5]ITEMS_Comm!C81</f>
        <v>IISL</v>
      </c>
      <c r="D55" s="27" t="str">
        <f>[5]ITEMS_Comm!D81</f>
        <v/>
      </c>
      <c r="E55" s="19" t="str">
        <f>[5]ITEMS_Comm!E81</f>
        <v>PJ</v>
      </c>
      <c r="F55" s="19" t="str">
        <f>[5]ITEMS_Comm!F81</f>
        <v>COM,DEM,ANNUAL,RES</v>
      </c>
    </row>
    <row r="56" spans="1:6">
      <c r="A56" s="27" t="str">
        <f>[5]ITEMS_Comm!A82</f>
        <v>*</v>
      </c>
      <c r="B56" s="19" t="str">
        <f>[5]ITEMS_Comm!B82</f>
        <v>E</v>
      </c>
      <c r="C56" s="27" t="str">
        <f>[5]ITEMS_Comm!C82</f>
        <v>IISC</v>
      </c>
      <c r="D56" s="27" t="str">
        <f>[5]ITEMS_Comm!D82</f>
        <v/>
      </c>
      <c r="E56" s="19" t="str">
        <f>[5]ITEMS_Comm!E82</f>
        <v>PJ</v>
      </c>
      <c r="F56" s="19" t="str">
        <f>[5]ITEMS_Comm!F82</f>
        <v>COM,DEM,ANNUAL,RES</v>
      </c>
    </row>
    <row r="57" spans="1:6">
      <c r="A57" s="27" t="str">
        <f>[5]ITEMS_Comm!A83</f>
        <v>*</v>
      </c>
      <c r="B57" s="19" t="str">
        <f>[5]ITEMS_Comm!B83</f>
        <v>E</v>
      </c>
      <c r="C57" s="27" t="str">
        <f>[5]ITEMS_Comm!C83</f>
        <v>IISH</v>
      </c>
      <c r="D57" s="27" t="str">
        <f>[5]ITEMS_Comm!D83</f>
        <v/>
      </c>
      <c r="E57" s="19" t="str">
        <f>[5]ITEMS_Comm!E83</f>
        <v>PJ</v>
      </c>
      <c r="F57" s="19" t="str">
        <f>[5]ITEMS_Comm!F83</f>
        <v>COM,DEM,ANNUAL,RES</v>
      </c>
    </row>
    <row r="58" spans="1:6">
      <c r="A58" s="27" t="str">
        <f>[5]ITEMS_Comm!A84</f>
        <v>*</v>
      </c>
      <c r="B58" s="19" t="str">
        <f>[5]ITEMS_Comm!B84</f>
        <v>E</v>
      </c>
      <c r="C58" s="27" t="str">
        <f>[5]ITEMS_Comm!C84</f>
        <v>IISP</v>
      </c>
      <c r="D58" s="27" t="str">
        <f>[5]ITEMS_Comm!D84</f>
        <v/>
      </c>
      <c r="E58" s="19" t="str">
        <f>[5]ITEMS_Comm!E84</f>
        <v>PJ</v>
      </c>
      <c r="F58" s="19" t="str">
        <f>[5]ITEMS_Comm!F84</f>
        <v>COM,DEM,ANNUAL,RES</v>
      </c>
    </row>
    <row r="59" spans="1:6">
      <c r="A59" s="27" t="str">
        <f>[5]ITEMS_Comm!A85</f>
        <v>*</v>
      </c>
      <c r="B59" s="19" t="str">
        <f>[5]ITEMS_Comm!B85</f>
        <v>E</v>
      </c>
      <c r="C59" s="27" t="str">
        <f>[5]ITEMS_Comm!C85</f>
        <v>IISF</v>
      </c>
      <c r="D59" s="27" t="str">
        <f>[5]ITEMS_Comm!D85</f>
        <v/>
      </c>
      <c r="E59" s="19" t="str">
        <f>[5]ITEMS_Comm!E85</f>
        <v>PJ</v>
      </c>
      <c r="F59" s="19" t="str">
        <f>[5]ITEMS_Comm!F85</f>
        <v>COM,DEM,ANNUAL,RES</v>
      </c>
    </row>
    <row r="60" spans="1:6">
      <c r="A60" s="27" t="str">
        <f>[5]ITEMS_Comm!A86</f>
        <v>*</v>
      </c>
      <c r="B60" s="19" t="str">
        <f>[5]ITEMS_Comm!B86</f>
        <v>E</v>
      </c>
      <c r="C60" s="27" t="str">
        <f>[5]ITEMS_Comm!C86</f>
        <v>IISO</v>
      </c>
      <c r="D60" s="27" t="str">
        <f>[5]ITEMS_Comm!D86</f>
        <v/>
      </c>
      <c r="E60" s="19" t="str">
        <f>[5]ITEMS_Comm!E86</f>
        <v>PJ</v>
      </c>
      <c r="F60" s="19" t="str">
        <f>[5]ITEMS_Comm!F86</f>
        <v>COM,DEM,ANNUAL,RES</v>
      </c>
    </row>
    <row r="61" spans="1:6">
      <c r="A61" s="27" t="str">
        <f>[5]ITEMS_Comm!A87</f>
        <v>*</v>
      </c>
      <c r="B61" s="19" t="str">
        <f>[5]ITEMS_Comm!B87</f>
        <v>E</v>
      </c>
      <c r="C61" s="27" t="str">
        <f>[5]ITEMS_Comm!C87</f>
        <v>IISE</v>
      </c>
      <c r="D61" s="27" t="str">
        <f>[5]ITEMS_Comm!D87</f>
        <v/>
      </c>
      <c r="E61" s="19" t="str">
        <f>[5]ITEMS_Comm!E87</f>
        <v>PJ</v>
      </c>
      <c r="F61" s="19" t="str">
        <f>[5]ITEMS_Comm!F87</f>
        <v>COM,DEM,ANNUAL,RES</v>
      </c>
    </row>
    <row r="62" spans="1:6">
      <c r="A62" s="27" t="str">
        <f>[5]ITEMS_Comm!A88</f>
        <v>*</v>
      </c>
      <c r="B62" s="19" t="str">
        <f>[5]ITEMS_Comm!B88</f>
        <v>E</v>
      </c>
      <c r="C62" s="27" t="str">
        <f>[5]ITEMS_Comm!C88</f>
        <v xml:space="preserve"> </v>
      </c>
      <c r="D62" s="27" t="str">
        <f>[5]ITEMS_Comm!D88</f>
        <v/>
      </c>
      <c r="E62" s="19" t="str">
        <f>[5]ITEMS_Comm!E88</f>
        <v>PJ</v>
      </c>
      <c r="F62" s="19" t="str">
        <f>[5]ITEMS_Comm!F88</f>
        <v>COM,DEM,ANNUAL,RES</v>
      </c>
    </row>
    <row r="63" spans="1:6">
      <c r="A63" s="27" t="str">
        <f>[5]ITEMS_Comm!A89</f>
        <v>*</v>
      </c>
      <c r="B63" s="19" t="str">
        <f>[5]ITEMS_Comm!B89</f>
        <v>E</v>
      </c>
      <c r="C63" s="27" t="str">
        <f>[5]ITEMS_Comm!C89</f>
        <v>IISS</v>
      </c>
      <c r="D63" s="27" t="str">
        <f>[5]ITEMS_Comm!D89</f>
        <v/>
      </c>
      <c r="E63" s="19" t="str">
        <f>[5]ITEMS_Comm!E89</f>
        <v>PJ</v>
      </c>
      <c r="F63" s="19" t="str">
        <f>[5]ITEMS_Comm!F89</f>
        <v>COM,DEM,ANNUAL,RES</v>
      </c>
    </row>
    <row r="64" spans="1:6">
      <c r="A64" s="27" t="str">
        <f>[5]ITEMS_Comm!A90</f>
        <v>*</v>
      </c>
      <c r="B64" s="19" t="str">
        <f>[5]ITEMS_Comm!B90</f>
        <v>E</v>
      </c>
      <c r="C64" s="27" t="str">
        <f>[5]ITEMS_Comm!C90</f>
        <v>IISS</v>
      </c>
      <c r="D64" s="27" t="str">
        <f>[5]ITEMS_Comm!D90</f>
        <v/>
      </c>
      <c r="E64" s="19" t="str">
        <f>[5]ITEMS_Comm!E90</f>
        <v>PJ</v>
      </c>
      <c r="F64" s="19" t="str">
        <f>[5]ITEMS_Comm!F90</f>
        <v>COM,DEM,ANNUAL,RES</v>
      </c>
    </row>
    <row r="65" spans="1:6">
      <c r="A65" s="27" t="str">
        <f>[5]ITEMS_Comm!A91</f>
        <v>*</v>
      </c>
      <c r="B65" s="19" t="str">
        <f>[5]ITEMS_Comm!B91</f>
        <v>E</v>
      </c>
      <c r="C65" s="27" t="str">
        <f>[5]ITEMS_Comm!C91</f>
        <v>IISS</v>
      </c>
      <c r="D65" s="27" t="str">
        <f>[5]ITEMS_Comm!D91</f>
        <v/>
      </c>
      <c r="E65" s="19" t="str">
        <f>[5]ITEMS_Comm!E91</f>
        <v>PJ</v>
      </c>
      <c r="F65" s="19" t="str">
        <f>[5]ITEMS_Comm!F91</f>
        <v>COM,DEM,ANNUAL,RES</v>
      </c>
    </row>
    <row r="66" spans="1:6">
      <c r="A66" s="27" t="str">
        <f>[5]ITEMS_Comm!A92</f>
        <v>*</v>
      </c>
      <c r="B66" s="19" t="str">
        <f>[5]ITEMS_Comm!B92</f>
        <v>E</v>
      </c>
      <c r="C66" s="27" t="str">
        <f>[5]ITEMS_Comm!C92</f>
        <v>IISS</v>
      </c>
      <c r="D66" s="27" t="str">
        <f>[5]ITEMS_Comm!D92</f>
        <v/>
      </c>
      <c r="E66" s="19" t="str">
        <f>[5]ITEMS_Comm!E92</f>
        <v>PJ</v>
      </c>
      <c r="F66" s="19" t="str">
        <f>[5]ITEMS_Comm!F92</f>
        <v>COM,DEM,ANNUAL,RES</v>
      </c>
    </row>
    <row r="67" spans="1:6">
      <c r="A67" s="27" t="str">
        <f>[5]ITEMS_Comm!A93</f>
        <v>*</v>
      </c>
      <c r="B67" s="19" t="str">
        <f>[5]ITEMS_Comm!B93</f>
        <v>E</v>
      </c>
      <c r="C67" s="27" t="str">
        <f>[5]ITEMS_Comm!C93</f>
        <v>IISS</v>
      </c>
      <c r="D67" s="27" t="str">
        <f>[5]ITEMS_Comm!D93</f>
        <v/>
      </c>
      <c r="E67" s="19" t="str">
        <f>[5]ITEMS_Comm!E93</f>
        <v>PJ</v>
      </c>
      <c r="F67" s="19" t="str">
        <f>[5]ITEMS_Comm!F93</f>
        <v>COM,DEM,ANNUAL,RES</v>
      </c>
    </row>
    <row r="68" spans="1:6">
      <c r="A68" s="27" t="str">
        <f>[5]ITEMS_Comm!A94</f>
        <v>*</v>
      </c>
      <c r="B68" s="19" t="str">
        <f>[5]ITEMS_Comm!B94</f>
        <v>E</v>
      </c>
      <c r="C68" s="27" t="str">
        <f>[5]ITEMS_Comm!C94</f>
        <v>IISS</v>
      </c>
      <c r="D68" s="27" t="str">
        <f>[5]ITEMS_Comm!D94</f>
        <v/>
      </c>
      <c r="E68" s="19" t="str">
        <f>[5]ITEMS_Comm!E94</f>
        <v>PJ</v>
      </c>
      <c r="F68" s="19" t="str">
        <f>[5]ITEMS_Comm!F94</f>
        <v>COM,DEM,ANNUAL,RES</v>
      </c>
    </row>
    <row r="69" spans="1:6">
      <c r="A69" s="27" t="str">
        <f>[5]ITEMS_Comm!A95</f>
        <v>*</v>
      </c>
      <c r="B69" s="19" t="str">
        <f>[5]ITEMS_Comm!B95</f>
        <v>E</v>
      </c>
      <c r="C69" s="27">
        <f>[5]ITEMS_Comm!C95</f>
        <v>0</v>
      </c>
      <c r="D69" s="27" t="str">
        <f>[5]ITEMS_Comm!D95</f>
        <v/>
      </c>
      <c r="E69" s="19" t="str">
        <f>[5]ITEMS_Comm!E95</f>
        <v>PJ</v>
      </c>
      <c r="F69" s="19" t="str">
        <f>[5]ITEMS_Comm!F95</f>
        <v>COM,DEM,ANNUAL,RES</v>
      </c>
    </row>
    <row r="70" spans="1:6">
      <c r="A70" s="27" t="str">
        <f>[5]ITEMS_Comm!A96</f>
        <v>*</v>
      </c>
      <c r="B70" s="19" t="str">
        <f>[5]ITEMS_Comm!B96</f>
        <v>E</v>
      </c>
      <c r="C70" s="27" t="str">
        <f>[5]ITEMS_Comm!C96</f>
        <v>IIST</v>
      </c>
      <c r="D70" s="27" t="str">
        <f>[5]ITEMS_Comm!D96</f>
        <v/>
      </c>
      <c r="E70" s="19" t="str">
        <f>[5]ITEMS_Comm!E96</f>
        <v>PJ</v>
      </c>
      <c r="F70" s="19" t="str">
        <f>[5]ITEMS_Comm!F96</f>
        <v>COM,DEM,ANNUAL,RES</v>
      </c>
    </row>
    <row r="71" spans="1:6">
      <c r="A71" s="27" t="str">
        <f>[5]ITEMS_Comm!A97</f>
        <v>*</v>
      </c>
      <c r="B71" s="19" t="str">
        <f>[5]ITEMS_Comm!B97</f>
        <v>E</v>
      </c>
      <c r="C71" s="27" t="str">
        <f>[5]ITEMS_Comm!C97</f>
        <v>Useful Energy Service</v>
      </c>
      <c r="D71" s="27" t="str">
        <f>[5]ITEMS_Comm!D97</f>
        <v/>
      </c>
      <c r="E71" s="19" t="str">
        <f>[5]ITEMS_Comm!E97</f>
        <v>PJ</v>
      </c>
      <c r="F71" s="19" t="str">
        <f>[5]ITEMS_Comm!F97</f>
        <v>COM,DEM,ANNUAL,RES</v>
      </c>
    </row>
    <row r="72" spans="1:6">
      <c r="A72" s="27" t="str">
        <f>[5]ITEMS_Comm!A98</f>
        <v>*</v>
      </c>
      <c r="B72" s="19" t="str">
        <f>[5]ITEMS_Comm!B98</f>
        <v>E</v>
      </c>
      <c r="C72" s="27">
        <f>[5]ITEMS_Comm!C98</f>
        <v>0</v>
      </c>
      <c r="D72" s="27" t="str">
        <f>[5]ITEMS_Comm!D98</f>
        <v/>
      </c>
      <c r="E72" s="19" t="str">
        <f>[5]ITEMS_Comm!E98</f>
        <v>PJ</v>
      </c>
      <c r="F72" s="19" t="str">
        <f>[5]ITEMS_Comm!F98</f>
        <v>COM,DEM,ANNUAL,RES</v>
      </c>
    </row>
    <row r="73" spans="1:6">
      <c r="A73" s="27" t="str">
        <f>[5]ITEMS_Comm!A99</f>
        <v>*</v>
      </c>
      <c r="B73" s="19" t="str">
        <f>[5]ITEMS_Comm!B99</f>
        <v>E</v>
      </c>
      <c r="C73" s="27">
        <f>[5]ITEMS_Comm!C99</f>
        <v>2</v>
      </c>
      <c r="D73" s="27" t="str">
        <f>[5]ITEMS_Comm!D99</f>
        <v/>
      </c>
      <c r="E73" s="19" t="str">
        <f>[5]ITEMS_Comm!E99</f>
        <v>PJ</v>
      </c>
      <c r="F73" s="19" t="str">
        <f>[5]ITEMS_Comm!F99</f>
        <v>COM,DEM,ANNUAL,RES</v>
      </c>
    </row>
    <row r="74" spans="1:6">
      <c r="A74" s="27" t="str">
        <f>[5]ITEMS_Comm!A100</f>
        <v/>
      </c>
      <c r="B74" s="19" t="str">
        <f>[5]ITEMS_Comm!B100</f>
        <v>E</v>
      </c>
      <c r="C74" s="27" t="str">
        <f>[5]ITEMS_Comm!C100</f>
        <v>ICPK</v>
      </c>
      <c r="D74" s="27" t="str">
        <f>[5]ITEMS_Comm!D100</f>
        <v>Industry-Chemicals-Elec Heating - Electricity</v>
      </c>
      <c r="E74" s="19" t="str">
        <f>[5]ITEMS_Comm!E100</f>
        <v>PJ</v>
      </c>
      <c r="F74" s="19" t="str">
        <f>[5]ITEMS_Comm!F100</f>
        <v>COM,DEM,ANNUAL,RES</v>
      </c>
    </row>
    <row r="75" spans="1:6">
      <c r="A75" s="27" t="str">
        <f>[5]ITEMS_Comm!A101</f>
        <v/>
      </c>
      <c r="B75" s="19" t="str">
        <f>[5]ITEMS_Comm!B101</f>
        <v>E</v>
      </c>
      <c r="C75" s="27" t="str">
        <f>[5]ITEMS_Comm!C101</f>
        <v>ICPA</v>
      </c>
      <c r="D75" s="27" t="str">
        <f>[5]ITEMS_Comm!D101</f>
        <v>Industry-Chemicals-Compressed air - Electricity</v>
      </c>
      <c r="E75" s="19" t="str">
        <f>[5]ITEMS_Comm!E101</f>
        <v>PJ</v>
      </c>
      <c r="F75" s="19" t="str">
        <f>[5]ITEMS_Comm!F101</f>
        <v>COM,DEM,ANNUAL,RES</v>
      </c>
    </row>
    <row r="76" spans="1:6">
      <c r="A76" s="27" t="str">
        <f>[5]ITEMS_Comm!A102</f>
        <v/>
      </c>
      <c r="B76" s="19" t="str">
        <f>[5]ITEMS_Comm!B102</f>
        <v>E</v>
      </c>
      <c r="C76" s="27" t="str">
        <f>[5]ITEMS_Comm!C102</f>
        <v>ICPL</v>
      </c>
      <c r="D76" s="27" t="str">
        <f>[5]ITEMS_Comm!D102</f>
        <v>Industry-Chemicals-Lighting - Electricity</v>
      </c>
      <c r="E76" s="19" t="str">
        <f>[5]ITEMS_Comm!E102</f>
        <v>PJ</v>
      </c>
      <c r="F76" s="19" t="str">
        <f>[5]ITEMS_Comm!F102</f>
        <v>COM,DEM,ANNUAL,RES</v>
      </c>
    </row>
    <row r="77" spans="1:6">
      <c r="A77" s="27" t="str">
        <f>[5]ITEMS_Comm!A103</f>
        <v/>
      </c>
      <c r="B77" s="19" t="str">
        <f>[5]ITEMS_Comm!B103</f>
        <v>E</v>
      </c>
      <c r="C77" s="27" t="str">
        <f>[5]ITEMS_Comm!C103</f>
        <v>ICPC</v>
      </c>
      <c r="D77" s="27" t="str">
        <f>[5]ITEMS_Comm!D103</f>
        <v>Industry-Chemicals-Cooling - Electricity</v>
      </c>
      <c r="E77" s="19" t="str">
        <f>[5]ITEMS_Comm!E103</f>
        <v>PJ</v>
      </c>
      <c r="F77" s="19" t="str">
        <f>[5]ITEMS_Comm!F103</f>
        <v>COM,DEM,ANNUAL,RES</v>
      </c>
    </row>
    <row r="78" spans="1:6">
      <c r="A78" s="27" t="str">
        <f>[5]ITEMS_Comm!A104</f>
        <v/>
      </c>
      <c r="B78" s="19" t="str">
        <f>[5]ITEMS_Comm!B104</f>
        <v>E</v>
      </c>
      <c r="C78" s="27" t="str">
        <f>[5]ITEMS_Comm!C104</f>
        <v>ICPH</v>
      </c>
      <c r="D78" s="27" t="str">
        <f>[5]ITEMS_Comm!D104</f>
        <v>Industry-Chemicals-HVAC - Electricity</v>
      </c>
      <c r="E78" s="19" t="str">
        <f>[5]ITEMS_Comm!E104</f>
        <v>PJ</v>
      </c>
      <c r="F78" s="19" t="str">
        <f>[5]ITEMS_Comm!F104</f>
        <v>COM,DEM,ANNUAL,RES</v>
      </c>
    </row>
    <row r="79" spans="1:6">
      <c r="A79" s="27" t="str">
        <f>[5]ITEMS_Comm!A105</f>
        <v/>
      </c>
      <c r="B79" s="19" t="str">
        <f>[5]ITEMS_Comm!B105</f>
        <v>E</v>
      </c>
      <c r="C79" s="27" t="str">
        <f>[5]ITEMS_Comm!C105</f>
        <v>ICPP</v>
      </c>
      <c r="D79" s="27" t="str">
        <f>[5]ITEMS_Comm!D105</f>
        <v>Industry-Chemicals-Pumping - Electricity</v>
      </c>
      <c r="E79" s="19" t="str">
        <f>[5]ITEMS_Comm!E105</f>
        <v>PJ</v>
      </c>
      <c r="F79" s="19" t="str">
        <f>[5]ITEMS_Comm!F105</f>
        <v>COM,DEM,ANNUAL,RES</v>
      </c>
    </row>
    <row r="80" spans="1:6">
      <c r="A80" s="27" t="str">
        <f>[5]ITEMS_Comm!A106</f>
        <v/>
      </c>
      <c r="B80" s="19" t="str">
        <f>[5]ITEMS_Comm!B106</f>
        <v>E</v>
      </c>
      <c r="C80" s="27" t="str">
        <f>[5]ITEMS_Comm!C106</f>
        <v>ICPF</v>
      </c>
      <c r="D80" s="27" t="str">
        <f>[5]ITEMS_Comm!D106</f>
        <v>Industry-Chemicals-Fans - Electricity</v>
      </c>
      <c r="E80" s="19" t="str">
        <f>[5]ITEMS_Comm!E106</f>
        <v>PJ</v>
      </c>
      <c r="F80" s="19" t="str">
        <f>[5]ITEMS_Comm!F106</f>
        <v>COM,DEM,ANNUAL,RES</v>
      </c>
    </row>
    <row r="81" spans="1:6">
      <c r="A81" s="27" t="str">
        <f>[5]ITEMS_Comm!A107</f>
        <v/>
      </c>
      <c r="B81" s="19" t="str">
        <f>[5]ITEMS_Comm!B107</f>
        <v>E</v>
      </c>
      <c r="C81" s="27" t="str">
        <f>[5]ITEMS_Comm!C107</f>
        <v>ICPO</v>
      </c>
      <c r="D81" s="27" t="str">
        <f>[5]ITEMS_Comm!D107</f>
        <v>Industry-Chemicals-Other motive - Electricity</v>
      </c>
      <c r="E81" s="19" t="str">
        <f>[5]ITEMS_Comm!E107</f>
        <v>PJ</v>
      </c>
      <c r="F81" s="19" t="str">
        <f>[5]ITEMS_Comm!F107</f>
        <v>COM,DEM,ANNUAL,RES</v>
      </c>
    </row>
    <row r="82" spans="1:6">
      <c r="A82" s="27" t="str">
        <f>[5]ITEMS_Comm!A108</f>
        <v/>
      </c>
      <c r="B82" s="19" t="str">
        <f>[5]ITEMS_Comm!B108</f>
        <v>E</v>
      </c>
      <c r="C82" s="27" t="str">
        <f>[5]ITEMS_Comm!C108</f>
        <v>ICPE</v>
      </c>
      <c r="D82" s="27" t="str">
        <f>[5]ITEMS_Comm!D108</f>
        <v>Industry-Chemicals-Electrochemical - Electricity</v>
      </c>
      <c r="E82" s="19" t="str">
        <f>[5]ITEMS_Comm!E108</f>
        <v>PJ</v>
      </c>
      <c r="F82" s="19" t="str">
        <f>[5]ITEMS_Comm!F108</f>
        <v>COM,DEM,ANNUAL,RES</v>
      </c>
    </row>
    <row r="83" spans="1:6">
      <c r="A83" s="27" t="str">
        <f>[5]ITEMS_Comm!A109</f>
        <v>*</v>
      </c>
      <c r="B83" s="19" t="str">
        <f>[5]ITEMS_Comm!B109</f>
        <v>E</v>
      </c>
      <c r="C83" s="27" t="str">
        <f>[5]ITEMS_Comm!C109</f>
        <v xml:space="preserve"> </v>
      </c>
      <c r="D83" s="27" t="str">
        <f>[5]ITEMS_Comm!D109</f>
        <v/>
      </c>
      <c r="E83" s="19" t="str">
        <f>[5]ITEMS_Comm!E109</f>
        <v>PJ</v>
      </c>
      <c r="F83" s="19" t="str">
        <f>[5]ITEMS_Comm!F109</f>
        <v>COM,DEM,ANNUAL,RES</v>
      </c>
    </row>
    <row r="84" spans="1:6">
      <c r="A84" s="27" t="str">
        <f>[5]ITEMS_Comm!A110</f>
        <v/>
      </c>
      <c r="B84" s="19" t="str">
        <f>[5]ITEMS_Comm!B110</f>
        <v>E</v>
      </c>
      <c r="C84" s="27" t="str">
        <f>[5]ITEMS_Comm!C110</f>
        <v>ICPS</v>
      </c>
      <c r="D84" s="27" t="str">
        <f>[5]ITEMS_Comm!D110</f>
        <v>Industry-Chemicals-boiler/process heating - Coal - Existing</v>
      </c>
      <c r="E84" s="19" t="str">
        <f>[5]ITEMS_Comm!E110</f>
        <v>PJ</v>
      </c>
      <c r="F84" s="19" t="str">
        <f>[5]ITEMS_Comm!F110</f>
        <v>COM,DEM,ANNUAL,RES</v>
      </c>
    </row>
    <row r="85" spans="1:6">
      <c r="A85" s="27" t="str">
        <f>[5]ITEMS_Comm!A111</f>
        <v/>
      </c>
      <c r="B85" s="19" t="str">
        <f>[5]ITEMS_Comm!B111</f>
        <v>E</v>
      </c>
      <c r="C85" s="27" t="str">
        <f>[5]ITEMS_Comm!C111</f>
        <v>ICPS</v>
      </c>
      <c r="D85" s="27" t="str">
        <f>[5]ITEMS_Comm!D111</f>
        <v>Industry-Chemicals-boiler/process heating - Gas - Existing</v>
      </c>
      <c r="E85" s="19" t="str">
        <f>[5]ITEMS_Comm!E111</f>
        <v>PJ</v>
      </c>
      <c r="F85" s="19" t="str">
        <f>[5]ITEMS_Comm!F111</f>
        <v>COM,DEM,ANNUAL,RES</v>
      </c>
    </row>
    <row r="86" spans="1:6">
      <c r="A86" s="27" t="str">
        <f>[5]ITEMS_Comm!A112</f>
        <v/>
      </c>
      <c r="B86" s="19" t="str">
        <f>[5]ITEMS_Comm!B112</f>
        <v>E</v>
      </c>
      <c r="C86" s="27" t="str">
        <f>[5]ITEMS_Comm!C112</f>
        <v>ICPS</v>
      </c>
      <c r="D86" s="27" t="str">
        <f>[5]ITEMS_Comm!D112</f>
        <v>Industry-Chemicals-boiler/process heating - Oil HFO - Existing</v>
      </c>
      <c r="E86" s="19" t="str">
        <f>[5]ITEMS_Comm!E112</f>
        <v>PJ</v>
      </c>
      <c r="F86" s="19" t="str">
        <f>[5]ITEMS_Comm!F112</f>
        <v>COM,DEM,ANNUAL,RES</v>
      </c>
    </row>
    <row r="87" spans="1:6">
      <c r="A87" s="27" t="str">
        <f>[5]ITEMS_Comm!A113</f>
        <v/>
      </c>
      <c r="B87" s="19" t="str">
        <f>[5]ITEMS_Comm!B113</f>
        <v>E</v>
      </c>
      <c r="C87" s="27" t="str">
        <f>[5]ITEMS_Comm!C113</f>
        <v>ICPS</v>
      </c>
      <c r="D87" s="27" t="str">
        <f>[5]ITEMS_Comm!D113</f>
        <v>Industry-Chemicals-boiler/process heating - Oil LPG - Existing</v>
      </c>
      <c r="E87" s="19" t="str">
        <f>[5]ITEMS_Comm!E113</f>
        <v>PJ</v>
      </c>
      <c r="F87" s="19" t="str">
        <f>[5]ITEMS_Comm!F113</f>
        <v>COM,DEM,ANNUAL,RES</v>
      </c>
    </row>
    <row r="88" spans="1:6">
      <c r="A88" s="27" t="str">
        <f>[5]ITEMS_Comm!A114</f>
        <v/>
      </c>
      <c r="B88" s="19" t="str">
        <f>[5]ITEMS_Comm!B114</f>
        <v>E</v>
      </c>
      <c r="C88" s="27" t="str">
        <f>[5]ITEMS_Comm!C114</f>
        <v>ICPS</v>
      </c>
      <c r="D88" s="27" t="str">
        <f>[5]ITEMS_Comm!D114</f>
        <v>Industry-Chemicals-boiler/process heating - Electricity - Existing</v>
      </c>
      <c r="E88" s="19" t="str">
        <f>[5]ITEMS_Comm!E114</f>
        <v>PJ</v>
      </c>
      <c r="F88" s="19" t="str">
        <f>[5]ITEMS_Comm!F114</f>
        <v>COM,DEM,ANNUAL,RES</v>
      </c>
    </row>
    <row r="89" spans="1:6">
      <c r="A89" s="27" t="str">
        <f>[5]ITEMS_Comm!A115</f>
        <v/>
      </c>
      <c r="B89" s="19" t="str">
        <f>[5]ITEMS_Comm!B115</f>
        <v>E</v>
      </c>
      <c r="C89" s="27" t="str">
        <f>[5]ITEMS_Comm!C115</f>
        <v>ICPS</v>
      </c>
      <c r="D89" s="27" t="str">
        <f>[5]ITEMS_Comm!D115</f>
        <v>Industry-Chemicals-boiler/process heating - Waste - Existing</v>
      </c>
      <c r="E89" s="19" t="str">
        <f>[5]ITEMS_Comm!E115</f>
        <v>PJ</v>
      </c>
      <c r="F89" s="19" t="str">
        <f>[5]ITEMS_Comm!F115</f>
        <v>COM,DEM,ANNUAL,RES</v>
      </c>
    </row>
    <row r="90" spans="1:6">
      <c r="A90" s="27" t="str">
        <f>[5]ITEMS_Comm!A116</f>
        <v>*</v>
      </c>
      <c r="B90" s="19" t="str">
        <f>[5]ITEMS_Comm!B116</f>
        <v>E</v>
      </c>
      <c r="C90" s="27">
        <f>[5]ITEMS_Comm!C116</f>
        <v>0</v>
      </c>
      <c r="D90" s="27" t="str">
        <f>[5]ITEMS_Comm!D116</f>
        <v/>
      </c>
      <c r="E90" s="19" t="str">
        <f>[5]ITEMS_Comm!E116</f>
        <v>PJ</v>
      </c>
      <c r="F90" s="19" t="str">
        <f>[5]ITEMS_Comm!F116</f>
        <v>COM,DEM,ANNUAL,RES</v>
      </c>
    </row>
    <row r="91" spans="1:6">
      <c r="A91" s="27" t="str">
        <f>[5]ITEMS_Comm!A117</f>
        <v/>
      </c>
      <c r="B91" s="19" t="str">
        <f>[5]ITEMS_Comm!B117</f>
        <v>E</v>
      </c>
      <c r="C91" s="27" t="str">
        <f>[5]ITEMS_Comm!C117</f>
        <v>ICPT</v>
      </c>
      <c r="D91" s="27" t="str">
        <f>[5]ITEMS_Comm!D117</f>
        <v>Industry-Chemicals-Ancillary - Gas - Existing</v>
      </c>
      <c r="E91" s="19" t="str">
        <f>[5]ITEMS_Comm!E117</f>
        <v>PJ</v>
      </c>
      <c r="F91" s="19" t="str">
        <f>[5]ITEMS_Comm!F117</f>
        <v>COM,DEM,ANNUAL,RES</v>
      </c>
    </row>
    <row r="92" spans="1:6">
      <c r="A92" s="27" t="str">
        <f>[5]ITEMS_Comm!A118</f>
        <v>*</v>
      </c>
      <c r="B92" s="19" t="str">
        <f>[5]ITEMS_Comm!B118</f>
        <v>E</v>
      </c>
      <c r="C92" s="27" t="str">
        <f>[5]ITEMS_Comm!C118</f>
        <v>Useful Energy Service</v>
      </c>
      <c r="D92" s="27" t="str">
        <f>[5]ITEMS_Comm!D118</f>
        <v/>
      </c>
      <c r="E92" s="19" t="str">
        <f>[5]ITEMS_Comm!E118</f>
        <v>PJ</v>
      </c>
      <c r="F92" s="19" t="str">
        <f>[5]ITEMS_Comm!F118</f>
        <v>COM,DEM,ANNUAL,RES</v>
      </c>
    </row>
    <row r="93" spans="1:6">
      <c r="A93" s="27" t="str">
        <f>[5]ITEMS_Comm!A119</f>
        <v>*</v>
      </c>
      <c r="B93" s="19" t="str">
        <f>[5]ITEMS_Comm!B119</f>
        <v>E</v>
      </c>
      <c r="C93" s="27">
        <f>[5]ITEMS_Comm!C119</f>
        <v>0</v>
      </c>
      <c r="D93" s="27" t="str">
        <f>[5]ITEMS_Comm!D119</f>
        <v/>
      </c>
      <c r="E93" s="19" t="str">
        <f>[5]ITEMS_Comm!E119</f>
        <v>PJ</v>
      </c>
      <c r="F93" s="19" t="str">
        <f>[5]ITEMS_Comm!F119</f>
        <v>COM,DEM,ANNUAL,RES</v>
      </c>
    </row>
    <row r="94" spans="1:6">
      <c r="A94" s="27" t="str">
        <f>[5]ITEMS_Comm!A120</f>
        <v>*</v>
      </c>
      <c r="B94" s="19" t="str">
        <f>[5]ITEMS_Comm!B120</f>
        <v>E</v>
      </c>
      <c r="C94" s="27">
        <f>[5]ITEMS_Comm!C120</f>
        <v>2</v>
      </c>
      <c r="D94" s="27" t="str">
        <f>[5]ITEMS_Comm!D120</f>
        <v/>
      </c>
      <c r="E94" s="19" t="str">
        <f>[5]ITEMS_Comm!E120</f>
        <v>PJ</v>
      </c>
      <c r="F94" s="19" t="str">
        <f>[5]ITEMS_Comm!F120</f>
        <v>COM,DEM,ANNUAL,RES</v>
      </c>
    </row>
    <row r="95" spans="1:6">
      <c r="A95" s="27" t="str">
        <f>[5]ITEMS_Comm!A121</f>
        <v/>
      </c>
      <c r="B95" s="19" t="str">
        <f>[5]ITEMS_Comm!B121</f>
        <v>E</v>
      </c>
      <c r="C95" s="27" t="str">
        <f>[5]ITEMS_Comm!C121</f>
        <v>INFK</v>
      </c>
      <c r="D95" s="27" t="str">
        <f>[5]ITEMS_Comm!D121</f>
        <v>Industry-Precious &amp; Non-Ferrous metals-Elec Heating - Electricity</v>
      </c>
      <c r="E95" s="19" t="str">
        <f>[5]ITEMS_Comm!E121</f>
        <v>PJ</v>
      </c>
      <c r="F95" s="19" t="str">
        <f>[5]ITEMS_Comm!F121</f>
        <v>COM,DEM,ANNUAL,RES</v>
      </c>
    </row>
    <row r="96" spans="1:6">
      <c r="A96" s="27" t="str">
        <f>[5]ITEMS_Comm!A122</f>
        <v/>
      </c>
      <c r="B96" s="19" t="str">
        <f>[5]ITEMS_Comm!B122</f>
        <v>E</v>
      </c>
      <c r="C96" s="27" t="str">
        <f>[5]ITEMS_Comm!C122</f>
        <v>INFA</v>
      </c>
      <c r="D96" s="27" t="str">
        <f>[5]ITEMS_Comm!D122</f>
        <v>Industry-Precious &amp; Non-Ferrous metals-Compressed air - Electricity</v>
      </c>
      <c r="E96" s="19" t="str">
        <f>[5]ITEMS_Comm!E122</f>
        <v>PJ</v>
      </c>
      <c r="F96" s="19" t="str">
        <f>[5]ITEMS_Comm!F122</f>
        <v>COM,DEM,ANNUAL,RES</v>
      </c>
    </row>
    <row r="97" spans="1:6">
      <c r="A97" s="27" t="str">
        <f>[5]ITEMS_Comm!A123</f>
        <v/>
      </c>
      <c r="B97" s="19" t="str">
        <f>[5]ITEMS_Comm!B123</f>
        <v>E</v>
      </c>
      <c r="C97" s="27" t="str">
        <f>[5]ITEMS_Comm!C123</f>
        <v>INFL</v>
      </c>
      <c r="D97" s="27" t="str">
        <f>[5]ITEMS_Comm!D123</f>
        <v>Industry-Precious &amp; Non-Ferrous metals-Lighting - Electricity</v>
      </c>
      <c r="E97" s="19" t="str">
        <f>[5]ITEMS_Comm!E123</f>
        <v>PJ</v>
      </c>
      <c r="F97" s="19" t="str">
        <f>[5]ITEMS_Comm!F123</f>
        <v>COM,DEM,ANNUAL,RES</v>
      </c>
    </row>
    <row r="98" spans="1:6">
      <c r="A98" s="27" t="str">
        <f>[5]ITEMS_Comm!A124</f>
        <v/>
      </c>
      <c r="B98" s="19" t="str">
        <f>[5]ITEMS_Comm!B124</f>
        <v>E</v>
      </c>
      <c r="C98" s="27" t="str">
        <f>[5]ITEMS_Comm!C124</f>
        <v>INFC</v>
      </c>
      <c r="D98" s="27" t="str">
        <f>[5]ITEMS_Comm!D124</f>
        <v>Industry-Precious &amp; Non-Ferrous metals-Cooling - Electricity</v>
      </c>
      <c r="E98" s="19" t="str">
        <f>[5]ITEMS_Comm!E124</f>
        <v>PJ</v>
      </c>
      <c r="F98" s="19" t="str">
        <f>[5]ITEMS_Comm!F124</f>
        <v>COM,DEM,ANNUAL,RES</v>
      </c>
    </row>
    <row r="99" spans="1:6">
      <c r="A99" s="27" t="str">
        <f>[5]ITEMS_Comm!A125</f>
        <v/>
      </c>
      <c r="B99" s="19" t="str">
        <f>[5]ITEMS_Comm!B125</f>
        <v>E</v>
      </c>
      <c r="C99" s="27" t="str">
        <f>[5]ITEMS_Comm!C125</f>
        <v>INFH</v>
      </c>
      <c r="D99" s="27" t="str">
        <f>[5]ITEMS_Comm!D125</f>
        <v>Industry-Precious &amp; Non-Ferrous metals-HVAC - Electricity</v>
      </c>
      <c r="E99" s="19" t="str">
        <f>[5]ITEMS_Comm!E125</f>
        <v>PJ</v>
      </c>
      <c r="F99" s="19" t="str">
        <f>[5]ITEMS_Comm!F125</f>
        <v>COM,DEM,ANNUAL,RES</v>
      </c>
    </row>
    <row r="100" spans="1:6">
      <c r="A100" s="27" t="str">
        <f>[5]ITEMS_Comm!A126</f>
        <v/>
      </c>
      <c r="B100" s="19" t="str">
        <f>[5]ITEMS_Comm!B126</f>
        <v>E</v>
      </c>
      <c r="C100" s="27" t="str">
        <f>[5]ITEMS_Comm!C126</f>
        <v>INFP</v>
      </c>
      <c r="D100" s="27" t="str">
        <f>[5]ITEMS_Comm!D126</f>
        <v>Industry-Precious &amp; Non-Ferrous metals-Pumping - Electricity</v>
      </c>
      <c r="E100" s="19" t="str">
        <f>[5]ITEMS_Comm!E126</f>
        <v>PJ</v>
      </c>
      <c r="F100" s="19" t="str">
        <f>[5]ITEMS_Comm!F126</f>
        <v>COM,DEM,ANNUAL,RES</v>
      </c>
    </row>
    <row r="101" spans="1:6">
      <c r="A101" s="27" t="str">
        <f>[5]ITEMS_Comm!A127</f>
        <v/>
      </c>
      <c r="B101" s="19" t="str">
        <f>[5]ITEMS_Comm!B127</f>
        <v>E</v>
      </c>
      <c r="C101" s="27" t="str">
        <f>[5]ITEMS_Comm!C127</f>
        <v>INFF</v>
      </c>
      <c r="D101" s="27" t="str">
        <f>[5]ITEMS_Comm!D127</f>
        <v>Industry-Precious &amp; Non-Ferrous metals-Fans - Electricity</v>
      </c>
      <c r="E101" s="19" t="str">
        <f>[5]ITEMS_Comm!E127</f>
        <v>PJ</v>
      </c>
      <c r="F101" s="19" t="str">
        <f>[5]ITEMS_Comm!F127</f>
        <v>COM,DEM,ANNUAL,RES</v>
      </c>
    </row>
    <row r="102" spans="1:6">
      <c r="A102" s="27" t="str">
        <f>[5]ITEMS_Comm!A128</f>
        <v/>
      </c>
      <c r="B102" s="19" t="str">
        <f>[5]ITEMS_Comm!B128</f>
        <v>E</v>
      </c>
      <c r="C102" s="27" t="str">
        <f>[5]ITEMS_Comm!C128</f>
        <v>INFO</v>
      </c>
      <c r="D102" s="27" t="str">
        <f>[5]ITEMS_Comm!D128</f>
        <v>Industry-Precious &amp; Non-Ferrous metals-Other motive - Electricity</v>
      </c>
      <c r="E102" s="19" t="str">
        <f>[5]ITEMS_Comm!E128</f>
        <v>PJ</v>
      </c>
      <c r="F102" s="19" t="str">
        <f>[5]ITEMS_Comm!F128</f>
        <v>COM,DEM,ANNUAL,RES</v>
      </c>
    </row>
    <row r="103" spans="1:6">
      <c r="A103" s="27" t="str">
        <f>[5]ITEMS_Comm!A129</f>
        <v/>
      </c>
      <c r="B103" s="19" t="str">
        <f>[5]ITEMS_Comm!B129</f>
        <v>E</v>
      </c>
      <c r="C103" s="27" t="str">
        <f>[5]ITEMS_Comm!C129</f>
        <v>INFE</v>
      </c>
      <c r="D103" s="27" t="str">
        <f>[5]ITEMS_Comm!D129</f>
        <v>Industry-Precious &amp; Non-Ferrous metals-Electrochemical - Electricity</v>
      </c>
      <c r="E103" s="19" t="str">
        <f>[5]ITEMS_Comm!E129</f>
        <v>PJ</v>
      </c>
      <c r="F103" s="19" t="str">
        <f>[5]ITEMS_Comm!F129</f>
        <v>COM,DEM,ANNUAL,RES</v>
      </c>
    </row>
    <row r="104" spans="1:6">
      <c r="A104" s="27" t="str">
        <f>[5]ITEMS_Comm!A130</f>
        <v>*</v>
      </c>
      <c r="B104" s="19" t="str">
        <f>[5]ITEMS_Comm!B130</f>
        <v>E</v>
      </c>
      <c r="C104" s="27" t="str">
        <f>[5]ITEMS_Comm!C130</f>
        <v xml:space="preserve"> </v>
      </c>
      <c r="D104" s="27" t="str">
        <f>[5]ITEMS_Comm!D130</f>
        <v/>
      </c>
      <c r="E104" s="19" t="str">
        <f>[5]ITEMS_Comm!E130</f>
        <v>PJ</v>
      </c>
      <c r="F104" s="19" t="str">
        <f>[5]ITEMS_Comm!F130</f>
        <v>COM,DEM,ANNUAL,RES</v>
      </c>
    </row>
    <row r="105" spans="1:6">
      <c r="A105" s="27" t="str">
        <f>[5]ITEMS_Comm!A131</f>
        <v/>
      </c>
      <c r="B105" s="19" t="str">
        <f>[5]ITEMS_Comm!B131</f>
        <v>E</v>
      </c>
      <c r="C105" s="27" t="str">
        <f>[5]ITEMS_Comm!C131</f>
        <v>INFS</v>
      </c>
      <c r="D105" s="27" t="str">
        <f>[5]ITEMS_Comm!D131</f>
        <v>Industry-Precious &amp; Non-Ferrous metals-boiler/process heating - Coal - Existing</v>
      </c>
      <c r="E105" s="19" t="str">
        <f>[5]ITEMS_Comm!E131</f>
        <v>PJ</v>
      </c>
      <c r="F105" s="19" t="str">
        <f>[5]ITEMS_Comm!F131</f>
        <v>COM,DEM,ANNUAL,RES</v>
      </c>
    </row>
    <row r="106" spans="1:6">
      <c r="A106" s="27" t="str">
        <f>[5]ITEMS_Comm!A132</f>
        <v/>
      </c>
      <c r="B106" s="19" t="str">
        <f>[5]ITEMS_Comm!B132</f>
        <v>E</v>
      </c>
      <c r="C106" s="27" t="str">
        <f>[5]ITEMS_Comm!C132</f>
        <v>INFS</v>
      </c>
      <c r="D106" s="27" t="str">
        <f>[5]ITEMS_Comm!D132</f>
        <v>Industry-Precious &amp; Non-Ferrous metals-boiler/process heating - Gas - Existing</v>
      </c>
      <c r="E106" s="19" t="str">
        <f>[5]ITEMS_Comm!E132</f>
        <v>PJ</v>
      </c>
      <c r="F106" s="19" t="str">
        <f>[5]ITEMS_Comm!F132</f>
        <v>COM,DEM,ANNUAL,RES</v>
      </c>
    </row>
    <row r="107" spans="1:6">
      <c r="A107" s="27" t="str">
        <f>[5]ITEMS_Comm!A133</f>
        <v/>
      </c>
      <c r="B107" s="19" t="str">
        <f>[5]ITEMS_Comm!B133</f>
        <v>E</v>
      </c>
      <c r="C107" s="27" t="str">
        <f>[5]ITEMS_Comm!C133</f>
        <v>INFS</v>
      </c>
      <c r="D107" s="27" t="str">
        <f>[5]ITEMS_Comm!D133</f>
        <v>Industry-Precious &amp; Non-Ferrous metals-boiler/process heating - Oil HFO - Existing</v>
      </c>
      <c r="E107" s="19" t="str">
        <f>[5]ITEMS_Comm!E133</f>
        <v>PJ</v>
      </c>
      <c r="F107" s="19" t="str">
        <f>[5]ITEMS_Comm!F133</f>
        <v>COM,DEM,ANNUAL,RES</v>
      </c>
    </row>
    <row r="108" spans="1:6">
      <c r="A108" s="27" t="str">
        <f>[5]ITEMS_Comm!A134</f>
        <v/>
      </c>
      <c r="B108" s="19" t="str">
        <f>[5]ITEMS_Comm!B134</f>
        <v>E</v>
      </c>
      <c r="C108" s="27" t="str">
        <f>[5]ITEMS_Comm!C134</f>
        <v>INFS</v>
      </c>
      <c r="D108" s="27" t="str">
        <f>[5]ITEMS_Comm!D134</f>
        <v>Industry-Precious &amp; Non-Ferrous metals-boiler/process heating - Oil LPG - Existing</v>
      </c>
      <c r="E108" s="19" t="str">
        <f>[5]ITEMS_Comm!E134</f>
        <v>PJ</v>
      </c>
      <c r="F108" s="19" t="str">
        <f>[5]ITEMS_Comm!F134</f>
        <v>COM,DEM,ANNUAL,RES</v>
      </c>
    </row>
    <row r="109" spans="1:6">
      <c r="A109" s="27" t="str">
        <f>[5]ITEMS_Comm!A135</f>
        <v/>
      </c>
      <c r="B109" s="19" t="str">
        <f>[5]ITEMS_Comm!B135</f>
        <v>E</v>
      </c>
      <c r="C109" s="27" t="str">
        <f>[5]ITEMS_Comm!C135</f>
        <v>INFS</v>
      </c>
      <c r="D109" s="27" t="str">
        <f>[5]ITEMS_Comm!D135</f>
        <v>Industry-Precious &amp; Non-Ferrous metals-boiler/process heating - Electricity - Existing</v>
      </c>
      <c r="E109" s="19" t="str">
        <f>[5]ITEMS_Comm!E135</f>
        <v>PJ</v>
      </c>
      <c r="F109" s="19" t="str">
        <f>[5]ITEMS_Comm!F135</f>
        <v>COM,DEM,ANNUAL,RES</v>
      </c>
    </row>
    <row r="110" spans="1:6">
      <c r="A110" s="27" t="str">
        <f>[5]ITEMS_Comm!A136</f>
        <v/>
      </c>
      <c r="B110" s="19" t="str">
        <f>[5]ITEMS_Comm!B136</f>
        <v>E</v>
      </c>
      <c r="C110" s="27" t="str">
        <f>[5]ITEMS_Comm!C136</f>
        <v>INFS</v>
      </c>
      <c r="D110" s="27" t="str">
        <f>[5]ITEMS_Comm!D136</f>
        <v>Industry-Precious &amp; Non-Ferrous metals-boiler/process heating - Waste - Existing</v>
      </c>
      <c r="E110" s="19" t="str">
        <f>[5]ITEMS_Comm!E136</f>
        <v>PJ</v>
      </c>
      <c r="F110" s="19" t="str">
        <f>[5]ITEMS_Comm!F136</f>
        <v>COM,DEM,ANNUAL,RES</v>
      </c>
    </row>
    <row r="111" spans="1:6">
      <c r="A111" s="27" t="str">
        <f>[5]ITEMS_Comm!A137</f>
        <v>*</v>
      </c>
      <c r="B111" s="19" t="str">
        <f>[5]ITEMS_Comm!B137</f>
        <v>E</v>
      </c>
      <c r="C111" s="27" t="str">
        <f>[5]ITEMS_Comm!C137</f>
        <v>Useful Energy Service</v>
      </c>
      <c r="D111" s="27" t="str">
        <f>[5]ITEMS_Comm!D137</f>
        <v/>
      </c>
      <c r="E111" s="19" t="str">
        <f>[5]ITEMS_Comm!E137</f>
        <v>PJ</v>
      </c>
      <c r="F111" s="19" t="str">
        <f>[5]ITEMS_Comm!F137</f>
        <v>COM,DEM,ANNUAL,RES</v>
      </c>
    </row>
    <row r="112" spans="1:6">
      <c r="A112" s="27" t="str">
        <f>[5]ITEMS_Comm!A138</f>
        <v>*</v>
      </c>
      <c r="B112" s="19" t="str">
        <f>[5]ITEMS_Comm!B138</f>
        <v>E</v>
      </c>
      <c r="C112" s="27">
        <f>[5]ITEMS_Comm!C138</f>
        <v>0</v>
      </c>
      <c r="D112" s="27" t="str">
        <f>[5]ITEMS_Comm!D138</f>
        <v/>
      </c>
      <c r="E112" s="19" t="str">
        <f>[5]ITEMS_Comm!E138</f>
        <v>PJ</v>
      </c>
      <c r="F112" s="19" t="str">
        <f>[5]ITEMS_Comm!F138</f>
        <v>COM,DEM,ANNUAL,RES</v>
      </c>
    </row>
    <row r="113" spans="1:6">
      <c r="A113" s="27" t="str">
        <f>[5]ITEMS_Comm!A139</f>
        <v>*</v>
      </c>
      <c r="B113" s="19" t="str">
        <f>[5]ITEMS_Comm!B139</f>
        <v>E</v>
      </c>
      <c r="C113" s="27">
        <f>[5]ITEMS_Comm!C139</f>
        <v>2</v>
      </c>
      <c r="D113" s="27" t="str">
        <f>[5]ITEMS_Comm!D139</f>
        <v/>
      </c>
      <c r="E113" s="19" t="str">
        <f>[5]ITEMS_Comm!E139</f>
        <v>PJ</v>
      </c>
      <c r="F113" s="19" t="str">
        <f>[5]ITEMS_Comm!F139</f>
        <v>COM,DEM,ANNUAL,RES</v>
      </c>
    </row>
    <row r="114" spans="1:6">
      <c r="A114" s="27" t="str">
        <f>[5]ITEMS_Comm!A140</f>
        <v>*</v>
      </c>
      <c r="B114" s="19" t="str">
        <f>[5]ITEMS_Comm!B140</f>
        <v>E</v>
      </c>
      <c r="C114" s="27" t="str">
        <f>[5]ITEMS_Comm!C140</f>
        <v>INMK</v>
      </c>
      <c r="D114" s="27" t="str">
        <f>[5]ITEMS_Comm!D140</f>
        <v/>
      </c>
      <c r="E114" s="19" t="str">
        <f>[5]ITEMS_Comm!E140</f>
        <v>PJ</v>
      </c>
      <c r="F114" s="19" t="str">
        <f>[5]ITEMS_Comm!F140</f>
        <v>COM,DEM,ANNUAL,RES</v>
      </c>
    </row>
    <row r="115" spans="1:6">
      <c r="A115" s="27" t="str">
        <f>[5]ITEMS_Comm!A141</f>
        <v>*</v>
      </c>
      <c r="B115" s="19" t="str">
        <f>[5]ITEMS_Comm!B141</f>
        <v>E</v>
      </c>
      <c r="C115" s="27" t="str">
        <f>[5]ITEMS_Comm!C141</f>
        <v>INMA</v>
      </c>
      <c r="D115" s="27" t="str">
        <f>[5]ITEMS_Comm!D141</f>
        <v/>
      </c>
      <c r="E115" s="19" t="str">
        <f>[5]ITEMS_Comm!E141</f>
        <v>PJ</v>
      </c>
      <c r="F115" s="19" t="str">
        <f>[5]ITEMS_Comm!F141</f>
        <v>COM,DEM,ANNUAL,RES</v>
      </c>
    </row>
    <row r="116" spans="1:6">
      <c r="A116" s="27" t="str">
        <f>[5]ITEMS_Comm!A142</f>
        <v>*</v>
      </c>
      <c r="B116" s="19" t="str">
        <f>[5]ITEMS_Comm!B142</f>
        <v>E</v>
      </c>
      <c r="C116" s="27" t="str">
        <f>[5]ITEMS_Comm!C142</f>
        <v>INML</v>
      </c>
      <c r="D116" s="27" t="str">
        <f>[5]ITEMS_Comm!D142</f>
        <v/>
      </c>
      <c r="E116" s="19" t="str">
        <f>[5]ITEMS_Comm!E142</f>
        <v>PJ</v>
      </c>
      <c r="F116" s="19" t="str">
        <f>[5]ITEMS_Comm!F142</f>
        <v>COM,DEM,ANNUAL,RES</v>
      </c>
    </row>
    <row r="117" spans="1:6">
      <c r="A117" s="27" t="str">
        <f>[5]ITEMS_Comm!A143</f>
        <v>*</v>
      </c>
      <c r="B117" s="19" t="str">
        <f>[5]ITEMS_Comm!B143</f>
        <v>E</v>
      </c>
      <c r="C117" s="27" t="str">
        <f>[5]ITEMS_Comm!C143</f>
        <v>INMC</v>
      </c>
      <c r="D117" s="27" t="str">
        <f>[5]ITEMS_Comm!D143</f>
        <v/>
      </c>
      <c r="E117" s="19" t="str">
        <f>[5]ITEMS_Comm!E143</f>
        <v>PJ</v>
      </c>
      <c r="F117" s="19" t="str">
        <f>[5]ITEMS_Comm!F143</f>
        <v>COM,DEM,ANNUAL,RES</v>
      </c>
    </row>
    <row r="118" spans="1:6">
      <c r="A118" s="27" t="str">
        <f>[5]ITEMS_Comm!A144</f>
        <v>*</v>
      </c>
      <c r="B118" s="19" t="str">
        <f>[5]ITEMS_Comm!B144</f>
        <v>E</v>
      </c>
      <c r="C118" s="27" t="str">
        <f>[5]ITEMS_Comm!C144</f>
        <v>INMH</v>
      </c>
      <c r="D118" s="27" t="str">
        <f>[5]ITEMS_Comm!D144</f>
        <v/>
      </c>
      <c r="E118" s="19" t="str">
        <f>[5]ITEMS_Comm!E144</f>
        <v>PJ</v>
      </c>
      <c r="F118" s="19" t="str">
        <f>[5]ITEMS_Comm!F144</f>
        <v>COM,DEM,ANNUAL,RES</v>
      </c>
    </row>
    <row r="119" spans="1:6">
      <c r="A119" s="27" t="str">
        <f>[5]ITEMS_Comm!A145</f>
        <v>*</v>
      </c>
      <c r="B119" s="19" t="str">
        <f>[5]ITEMS_Comm!B145</f>
        <v>E</v>
      </c>
      <c r="C119" s="27" t="str">
        <f>[5]ITEMS_Comm!C145</f>
        <v>INMP</v>
      </c>
      <c r="D119" s="27" t="str">
        <f>[5]ITEMS_Comm!D145</f>
        <v/>
      </c>
      <c r="E119" s="19" t="str">
        <f>[5]ITEMS_Comm!E145</f>
        <v>PJ</v>
      </c>
      <c r="F119" s="19" t="str">
        <f>[5]ITEMS_Comm!F145</f>
        <v>COM,DEM,ANNUAL,RES</v>
      </c>
    </row>
    <row r="120" spans="1:6">
      <c r="A120" s="27" t="str">
        <f>[5]ITEMS_Comm!A146</f>
        <v>*</v>
      </c>
      <c r="B120" s="19" t="str">
        <f>[5]ITEMS_Comm!B146</f>
        <v>E</v>
      </c>
      <c r="C120" s="27" t="str">
        <f>[5]ITEMS_Comm!C146</f>
        <v>INMF</v>
      </c>
      <c r="D120" s="27" t="str">
        <f>[5]ITEMS_Comm!D146</f>
        <v/>
      </c>
      <c r="E120" s="19" t="str">
        <f>[5]ITEMS_Comm!E146</f>
        <v>PJ</v>
      </c>
      <c r="F120" s="19" t="str">
        <f>[5]ITEMS_Comm!F146</f>
        <v>COM,DEM,ANNUAL,RES</v>
      </c>
    </row>
    <row r="121" spans="1:6">
      <c r="A121" s="27" t="str">
        <f>[5]ITEMS_Comm!A147</f>
        <v>*</v>
      </c>
      <c r="B121" s="19" t="str">
        <f>[5]ITEMS_Comm!B147</f>
        <v>E</v>
      </c>
      <c r="C121" s="27" t="str">
        <f>[5]ITEMS_Comm!C147</f>
        <v>INMO</v>
      </c>
      <c r="D121" s="27" t="str">
        <f>[5]ITEMS_Comm!D147</f>
        <v/>
      </c>
      <c r="E121" s="19" t="str">
        <f>[5]ITEMS_Comm!E147</f>
        <v>PJ</v>
      </c>
      <c r="F121" s="19" t="str">
        <f>[5]ITEMS_Comm!F147</f>
        <v>COM,DEM,ANNUAL,RES</v>
      </c>
    </row>
    <row r="122" spans="1:6">
      <c r="A122" s="27" t="str">
        <f>[5]ITEMS_Comm!A148</f>
        <v>*</v>
      </c>
      <c r="B122" s="19" t="str">
        <f>[5]ITEMS_Comm!B148</f>
        <v>E</v>
      </c>
      <c r="C122" s="27" t="str">
        <f>[5]ITEMS_Comm!C148</f>
        <v>INME</v>
      </c>
      <c r="D122" s="27" t="str">
        <f>[5]ITEMS_Comm!D148</f>
        <v/>
      </c>
      <c r="E122" s="19" t="str">
        <f>[5]ITEMS_Comm!E148</f>
        <v>PJ</v>
      </c>
      <c r="F122" s="19" t="str">
        <f>[5]ITEMS_Comm!F148</f>
        <v>COM,DEM,ANNUAL,RES</v>
      </c>
    </row>
    <row r="123" spans="1:6">
      <c r="A123" s="27" t="str">
        <f>[5]ITEMS_Comm!A149</f>
        <v>*</v>
      </c>
      <c r="B123" s="19" t="str">
        <f>[5]ITEMS_Comm!B149</f>
        <v>E</v>
      </c>
      <c r="C123" s="27" t="str">
        <f>[5]ITEMS_Comm!C149</f>
        <v xml:space="preserve"> </v>
      </c>
      <c r="D123" s="27" t="str">
        <f>[5]ITEMS_Comm!D149</f>
        <v/>
      </c>
      <c r="E123" s="19" t="str">
        <f>[5]ITEMS_Comm!E149</f>
        <v>PJ</v>
      </c>
      <c r="F123" s="19" t="str">
        <f>[5]ITEMS_Comm!F149</f>
        <v>COM,DEM,ANNUAL,RES</v>
      </c>
    </row>
    <row r="124" spans="1:6">
      <c r="A124" s="27" t="str">
        <f>[5]ITEMS_Comm!A150</f>
        <v>*</v>
      </c>
      <c r="B124" s="19" t="str">
        <f>[5]ITEMS_Comm!B150</f>
        <v>E</v>
      </c>
      <c r="C124" s="27" t="str">
        <f>[5]ITEMS_Comm!C150</f>
        <v>INMS</v>
      </c>
      <c r="D124" s="27" t="str">
        <f>[5]ITEMS_Comm!D150</f>
        <v/>
      </c>
      <c r="E124" s="19" t="str">
        <f>[5]ITEMS_Comm!E150</f>
        <v>PJ</v>
      </c>
      <c r="F124" s="19" t="str">
        <f>[5]ITEMS_Comm!F150</f>
        <v>COM,DEM,ANNUAL,RES</v>
      </c>
    </row>
    <row r="125" spans="1:6">
      <c r="A125" s="27" t="str">
        <f>[5]ITEMS_Comm!A151</f>
        <v>*</v>
      </c>
      <c r="B125" s="19" t="str">
        <f>[5]ITEMS_Comm!B151</f>
        <v>E</v>
      </c>
      <c r="C125" s="27" t="str">
        <f>[5]ITEMS_Comm!C151</f>
        <v>INMS</v>
      </c>
      <c r="D125" s="27" t="str">
        <f>[5]ITEMS_Comm!D151</f>
        <v/>
      </c>
      <c r="E125" s="19" t="str">
        <f>[5]ITEMS_Comm!E151</f>
        <v>PJ</v>
      </c>
      <c r="F125" s="19" t="str">
        <f>[5]ITEMS_Comm!F151</f>
        <v>COM,DEM,ANNUAL,RES</v>
      </c>
    </row>
    <row r="126" spans="1:6">
      <c r="A126" s="27" t="str">
        <f>[5]ITEMS_Comm!A152</f>
        <v>*</v>
      </c>
      <c r="B126" s="19" t="str">
        <f>[5]ITEMS_Comm!B152</f>
        <v>E</v>
      </c>
      <c r="C126" s="27" t="str">
        <f>[5]ITEMS_Comm!C152</f>
        <v>INMS</v>
      </c>
      <c r="D126" s="27" t="str">
        <f>[5]ITEMS_Comm!D152</f>
        <v/>
      </c>
      <c r="E126" s="19" t="str">
        <f>[5]ITEMS_Comm!E152</f>
        <v>PJ</v>
      </c>
      <c r="F126" s="19" t="str">
        <f>[5]ITEMS_Comm!F152</f>
        <v>COM,DEM,ANNUAL,RES</v>
      </c>
    </row>
    <row r="127" spans="1:6">
      <c r="A127" s="27" t="str">
        <f>[5]ITEMS_Comm!A153</f>
        <v>*</v>
      </c>
      <c r="B127" s="19" t="str">
        <f>[5]ITEMS_Comm!B153</f>
        <v>E</v>
      </c>
      <c r="C127" s="27" t="str">
        <f>[5]ITEMS_Comm!C153</f>
        <v>INMS</v>
      </c>
      <c r="D127" s="27" t="str">
        <f>[5]ITEMS_Comm!D153</f>
        <v/>
      </c>
      <c r="E127" s="19" t="str">
        <f>[5]ITEMS_Comm!E153</f>
        <v>PJ</v>
      </c>
      <c r="F127" s="19" t="str">
        <f>[5]ITEMS_Comm!F153</f>
        <v>COM,DEM,ANNUAL,RES</v>
      </c>
    </row>
    <row r="128" spans="1:6">
      <c r="A128" s="27" t="str">
        <f>[5]ITEMS_Comm!A154</f>
        <v>*</v>
      </c>
      <c r="B128" s="19" t="str">
        <f>[5]ITEMS_Comm!B154</f>
        <v>E</v>
      </c>
      <c r="C128" s="27" t="str">
        <f>[5]ITEMS_Comm!C154</f>
        <v>INMS</v>
      </c>
      <c r="D128" s="27" t="str">
        <f>[5]ITEMS_Comm!D154</f>
        <v/>
      </c>
      <c r="E128" s="19" t="str">
        <f>[5]ITEMS_Comm!E154</f>
        <v>PJ</v>
      </c>
      <c r="F128" s="19" t="str">
        <f>[5]ITEMS_Comm!F154</f>
        <v>COM,DEM,ANNUAL,RES</v>
      </c>
    </row>
    <row r="129" spans="1:6">
      <c r="A129" s="27" t="str">
        <f>[5]ITEMS_Comm!A155</f>
        <v>*</v>
      </c>
      <c r="B129" s="19" t="str">
        <f>[5]ITEMS_Comm!B155</f>
        <v>E</v>
      </c>
      <c r="C129" s="27" t="str">
        <f>[5]ITEMS_Comm!C155</f>
        <v>INMS</v>
      </c>
      <c r="D129" s="27" t="str">
        <f>[5]ITEMS_Comm!D155</f>
        <v/>
      </c>
      <c r="E129" s="19" t="str">
        <f>[5]ITEMS_Comm!E155</f>
        <v>PJ</v>
      </c>
      <c r="F129" s="19" t="str">
        <f>[5]ITEMS_Comm!F155</f>
        <v>COM,DEM,ANNUAL,RES</v>
      </c>
    </row>
    <row r="130" spans="1:6">
      <c r="A130" s="27" t="str">
        <f>[5]ITEMS_Comm!A156</f>
        <v>*</v>
      </c>
      <c r="B130" s="19" t="str">
        <f>[5]ITEMS_Comm!B156</f>
        <v>E</v>
      </c>
      <c r="C130" s="27" t="str">
        <f>[5]ITEMS_Comm!C156</f>
        <v>Useful Energy Service</v>
      </c>
      <c r="D130" s="27" t="str">
        <f>[5]ITEMS_Comm!D156</f>
        <v/>
      </c>
      <c r="E130" s="19" t="str">
        <f>[5]ITEMS_Comm!E156</f>
        <v>PJ</v>
      </c>
      <c r="F130" s="19" t="str">
        <f>[5]ITEMS_Comm!F156</f>
        <v>COM,DEM,ANNUAL,RES</v>
      </c>
    </row>
    <row r="131" spans="1:6">
      <c r="A131" s="27" t="str">
        <f>[5]ITEMS_Comm!A157</f>
        <v>*</v>
      </c>
      <c r="B131" s="19" t="str">
        <f>[5]ITEMS_Comm!B157</f>
        <v>E</v>
      </c>
      <c r="C131" s="27">
        <f>[5]ITEMS_Comm!C157</f>
        <v>0</v>
      </c>
      <c r="D131" s="27" t="str">
        <f>[5]ITEMS_Comm!D157</f>
        <v/>
      </c>
      <c r="E131" s="19" t="str">
        <f>[5]ITEMS_Comm!E157</f>
        <v>PJ</v>
      </c>
      <c r="F131" s="19" t="str">
        <f>[5]ITEMS_Comm!F157</f>
        <v>COM,DEM,ANNUAL,RES</v>
      </c>
    </row>
    <row r="132" spans="1:6">
      <c r="A132" s="27" t="str">
        <f>[5]ITEMS_Comm!A158</f>
        <v>*</v>
      </c>
      <c r="B132" s="19" t="str">
        <f>[5]ITEMS_Comm!B158</f>
        <v>E</v>
      </c>
      <c r="C132" s="27">
        <f>[5]ITEMS_Comm!C158</f>
        <v>2</v>
      </c>
      <c r="D132" s="27" t="str">
        <f>[5]ITEMS_Comm!D158</f>
        <v/>
      </c>
      <c r="E132" s="19" t="str">
        <f>[5]ITEMS_Comm!E158</f>
        <v>PJ</v>
      </c>
      <c r="F132" s="19" t="str">
        <f>[5]ITEMS_Comm!F158</f>
        <v>COM,DEM,ANNUAL,RES</v>
      </c>
    </row>
    <row r="133" spans="1:6">
      <c r="A133" s="27" t="str">
        <f>[5]ITEMS_Comm!A159</f>
        <v/>
      </c>
      <c r="B133" s="19" t="str">
        <f>[5]ITEMS_Comm!B159</f>
        <v>E</v>
      </c>
      <c r="C133" s="27" t="str">
        <f>[5]ITEMS_Comm!C159</f>
        <v>IFBK</v>
      </c>
      <c r="D133" s="27" t="str">
        <f>[5]ITEMS_Comm!D159</f>
        <v>Industry-Food, Beverage &amp; Tabacco-Elec Heating - Electricity</v>
      </c>
      <c r="E133" s="19" t="str">
        <f>[5]ITEMS_Comm!E159</f>
        <v>PJ</v>
      </c>
      <c r="F133" s="19" t="str">
        <f>[5]ITEMS_Comm!F159</f>
        <v>COM,DEM,ANNUAL,RES</v>
      </c>
    </row>
    <row r="134" spans="1:6">
      <c r="A134" s="27" t="str">
        <f>[5]ITEMS_Comm!A160</f>
        <v/>
      </c>
      <c r="B134" s="19" t="str">
        <f>[5]ITEMS_Comm!B160</f>
        <v>E</v>
      </c>
      <c r="C134" s="27" t="str">
        <f>[5]ITEMS_Comm!C160</f>
        <v>IFBA</v>
      </c>
      <c r="D134" s="27" t="str">
        <f>[5]ITEMS_Comm!D160</f>
        <v>Industry-Food, Beverage &amp; Tabacco-Compressed air - Electricity</v>
      </c>
      <c r="E134" s="19" t="str">
        <f>[5]ITEMS_Comm!E160</f>
        <v>PJ</v>
      </c>
      <c r="F134" s="19" t="str">
        <f>[5]ITEMS_Comm!F160</f>
        <v>COM,DEM,ANNUAL,RES</v>
      </c>
    </row>
    <row r="135" spans="1:6">
      <c r="A135" s="27" t="str">
        <f>[5]ITEMS_Comm!A161</f>
        <v/>
      </c>
      <c r="B135" s="19" t="str">
        <f>[5]ITEMS_Comm!B161</f>
        <v>E</v>
      </c>
      <c r="C135" s="27" t="str">
        <f>[5]ITEMS_Comm!C161</f>
        <v>IFBL</v>
      </c>
      <c r="D135" s="27" t="str">
        <f>[5]ITEMS_Comm!D161</f>
        <v>Industry-Food, Beverage &amp; Tabacco-Lighting - Electricity</v>
      </c>
      <c r="E135" s="19" t="str">
        <f>[5]ITEMS_Comm!E161</f>
        <v>PJ</v>
      </c>
      <c r="F135" s="19" t="str">
        <f>[5]ITEMS_Comm!F161</f>
        <v>COM,DEM,ANNUAL,RES</v>
      </c>
    </row>
    <row r="136" spans="1:6">
      <c r="A136" s="27" t="str">
        <f>[5]ITEMS_Comm!A162</f>
        <v/>
      </c>
      <c r="B136" s="19" t="str">
        <f>[5]ITEMS_Comm!B162</f>
        <v>E</v>
      </c>
      <c r="C136" s="27" t="str">
        <f>[5]ITEMS_Comm!C162</f>
        <v>IFBC</v>
      </c>
      <c r="D136" s="27" t="str">
        <f>[5]ITEMS_Comm!D162</f>
        <v>Industry-Food, Beverage &amp; Tabacco-Cooling - Electricity</v>
      </c>
      <c r="E136" s="19" t="str">
        <f>[5]ITEMS_Comm!E162</f>
        <v>PJ</v>
      </c>
      <c r="F136" s="19" t="str">
        <f>[5]ITEMS_Comm!F162</f>
        <v>COM,DEM,ANNUAL,RES</v>
      </c>
    </row>
    <row r="137" spans="1:6">
      <c r="A137" s="27" t="str">
        <f>[5]ITEMS_Comm!A163</f>
        <v/>
      </c>
      <c r="B137" s="19" t="str">
        <f>[5]ITEMS_Comm!B163</f>
        <v>E</v>
      </c>
      <c r="C137" s="27" t="str">
        <f>[5]ITEMS_Comm!C163</f>
        <v>IFBH</v>
      </c>
      <c r="D137" s="27" t="str">
        <f>[5]ITEMS_Comm!D163</f>
        <v>Industry-Food, Beverage &amp; Tabacco-HVAC - Electricity</v>
      </c>
      <c r="E137" s="19" t="str">
        <f>[5]ITEMS_Comm!E163</f>
        <v>PJ</v>
      </c>
      <c r="F137" s="19" t="str">
        <f>[5]ITEMS_Comm!F163</f>
        <v>COM,DEM,ANNUAL,RES</v>
      </c>
    </row>
    <row r="138" spans="1:6">
      <c r="A138" s="27" t="str">
        <f>[5]ITEMS_Comm!A164</f>
        <v/>
      </c>
      <c r="B138" s="19" t="str">
        <f>[5]ITEMS_Comm!B164</f>
        <v>E</v>
      </c>
      <c r="C138" s="27" t="str">
        <f>[5]ITEMS_Comm!C164</f>
        <v>IFBP</v>
      </c>
      <c r="D138" s="27" t="str">
        <f>[5]ITEMS_Comm!D164</f>
        <v>Industry-Food, Beverage &amp; Tabacco-Pumping - Electricity</v>
      </c>
      <c r="E138" s="19" t="str">
        <f>[5]ITEMS_Comm!E164</f>
        <v>PJ</v>
      </c>
      <c r="F138" s="19" t="str">
        <f>[5]ITEMS_Comm!F164</f>
        <v>COM,DEM,ANNUAL,RES</v>
      </c>
    </row>
    <row r="139" spans="1:6">
      <c r="A139" s="27" t="str">
        <f>[5]ITEMS_Comm!A165</f>
        <v/>
      </c>
      <c r="B139" s="19" t="str">
        <f>[5]ITEMS_Comm!B165</f>
        <v>E</v>
      </c>
      <c r="C139" s="27" t="str">
        <f>[5]ITEMS_Comm!C165</f>
        <v>IFBF</v>
      </c>
      <c r="D139" s="27" t="str">
        <f>[5]ITEMS_Comm!D165</f>
        <v>Industry-Food, Beverage &amp; Tabacco-Fans - Electricity</v>
      </c>
      <c r="E139" s="19" t="str">
        <f>[5]ITEMS_Comm!E165</f>
        <v>PJ</v>
      </c>
      <c r="F139" s="19" t="str">
        <f>[5]ITEMS_Comm!F165</f>
        <v>COM,DEM,ANNUAL,RES</v>
      </c>
    </row>
    <row r="140" spans="1:6">
      <c r="A140" s="27" t="str">
        <f>[5]ITEMS_Comm!A166</f>
        <v/>
      </c>
      <c r="B140" s="19" t="str">
        <f>[5]ITEMS_Comm!B166</f>
        <v>E</v>
      </c>
      <c r="C140" s="27" t="str">
        <f>[5]ITEMS_Comm!C166</f>
        <v>IFBO</v>
      </c>
      <c r="D140" s="27" t="str">
        <f>[5]ITEMS_Comm!D166</f>
        <v>Industry-Food, Beverage &amp; Tabacco-Other motive - Electricity</v>
      </c>
      <c r="E140" s="19" t="str">
        <f>[5]ITEMS_Comm!E166</f>
        <v>PJ</v>
      </c>
      <c r="F140" s="19" t="str">
        <f>[5]ITEMS_Comm!F166</f>
        <v>COM,DEM,ANNUAL,RES</v>
      </c>
    </row>
    <row r="141" spans="1:6">
      <c r="A141" s="27" t="str">
        <f>[5]ITEMS_Comm!A167</f>
        <v/>
      </c>
      <c r="B141" s="19" t="str">
        <f>[5]ITEMS_Comm!B167</f>
        <v>E</v>
      </c>
      <c r="C141" s="27" t="str">
        <f>[5]ITEMS_Comm!C167</f>
        <v>IFBE</v>
      </c>
      <c r="D141" s="27" t="str">
        <f>[5]ITEMS_Comm!D167</f>
        <v>Industry-Food, Beverage &amp; Tabacco-Electrochemical - Electricity</v>
      </c>
      <c r="E141" s="19" t="str">
        <f>[5]ITEMS_Comm!E167</f>
        <v>PJ</v>
      </c>
      <c r="F141" s="19" t="str">
        <f>[5]ITEMS_Comm!F167</f>
        <v>COM,DEM,ANNUAL,RES</v>
      </c>
    </row>
    <row r="142" spans="1:6">
      <c r="A142" s="27" t="str">
        <f>[5]ITEMS_Comm!A168</f>
        <v>*</v>
      </c>
      <c r="B142" s="19" t="str">
        <f>[5]ITEMS_Comm!B168</f>
        <v>E</v>
      </c>
      <c r="C142" s="27" t="str">
        <f>[5]ITEMS_Comm!C168</f>
        <v xml:space="preserve"> </v>
      </c>
      <c r="D142" s="27" t="str">
        <f>[5]ITEMS_Comm!D168</f>
        <v/>
      </c>
      <c r="E142" s="19" t="str">
        <f>[5]ITEMS_Comm!E168</f>
        <v>PJ</v>
      </c>
      <c r="F142" s="19" t="str">
        <f>[5]ITEMS_Comm!F168</f>
        <v>COM,DEM,ANNUAL,RES</v>
      </c>
    </row>
    <row r="143" spans="1:6">
      <c r="A143" s="27" t="str">
        <f>[5]ITEMS_Comm!A169</f>
        <v/>
      </c>
      <c r="B143" s="19" t="str">
        <f>[5]ITEMS_Comm!B169</f>
        <v>E</v>
      </c>
      <c r="C143" s="27" t="str">
        <f>[5]ITEMS_Comm!C169</f>
        <v>IFBS</v>
      </c>
      <c r="D143" s="27" t="str">
        <f>[5]ITEMS_Comm!D169</f>
        <v>Industry-Food, Beverage &amp; Tabacco-boiler/process heating - Coal - Existing</v>
      </c>
      <c r="E143" s="19" t="str">
        <f>[5]ITEMS_Comm!E169</f>
        <v>PJ</v>
      </c>
      <c r="F143" s="19" t="str">
        <f>[5]ITEMS_Comm!F169</f>
        <v>COM,DEM,ANNUAL,RES</v>
      </c>
    </row>
    <row r="144" spans="1:6">
      <c r="A144" s="27" t="str">
        <f>[5]ITEMS_Comm!A170</f>
        <v/>
      </c>
      <c r="B144" s="19" t="str">
        <f>[5]ITEMS_Comm!B170</f>
        <v>E</v>
      </c>
      <c r="C144" s="27" t="str">
        <f>[5]ITEMS_Comm!C170</f>
        <v>IFBS</v>
      </c>
      <c r="D144" s="27" t="str">
        <f>[5]ITEMS_Comm!D170</f>
        <v>Industry-Food, Beverage &amp; Tabacco-boiler/process heating - Gas - Existing</v>
      </c>
      <c r="E144" s="19" t="str">
        <f>[5]ITEMS_Comm!E170</f>
        <v>PJ</v>
      </c>
      <c r="F144" s="19" t="str">
        <f>[5]ITEMS_Comm!F170</f>
        <v>COM,DEM,ANNUAL,RES</v>
      </c>
    </row>
    <row r="145" spans="1:6">
      <c r="A145" s="27" t="str">
        <f>[5]ITEMS_Comm!A171</f>
        <v/>
      </c>
      <c r="B145" s="19" t="str">
        <f>[5]ITEMS_Comm!B171</f>
        <v>E</v>
      </c>
      <c r="C145" s="27" t="str">
        <f>[5]ITEMS_Comm!C171</f>
        <v>IFBS</v>
      </c>
      <c r="D145" s="27" t="str">
        <f>[5]ITEMS_Comm!D171</f>
        <v>Industry-Food, Beverage &amp; Tabacco-boiler/process heating - Oil HFO - Existing</v>
      </c>
      <c r="E145" s="19" t="str">
        <f>[5]ITEMS_Comm!E171</f>
        <v>PJ</v>
      </c>
      <c r="F145" s="19" t="str">
        <f>[5]ITEMS_Comm!F171</f>
        <v>COM,DEM,ANNUAL,RES</v>
      </c>
    </row>
    <row r="146" spans="1:6">
      <c r="A146" s="27" t="str">
        <f>[5]ITEMS_Comm!A172</f>
        <v/>
      </c>
      <c r="B146" s="19" t="str">
        <f>[5]ITEMS_Comm!B172</f>
        <v>E</v>
      </c>
      <c r="C146" s="27" t="str">
        <f>[5]ITEMS_Comm!C172</f>
        <v>IFBS</v>
      </c>
      <c r="D146" s="27" t="str">
        <f>[5]ITEMS_Comm!D172</f>
        <v>Industry-Food, Beverage &amp; Tabacco-boiler/process heating - Oil LPG - Existing</v>
      </c>
      <c r="E146" s="19" t="str">
        <f>[5]ITEMS_Comm!E172</f>
        <v>PJ</v>
      </c>
      <c r="F146" s="19" t="str">
        <f>[5]ITEMS_Comm!F172</f>
        <v>COM,DEM,ANNUAL,RES</v>
      </c>
    </row>
    <row r="147" spans="1:6">
      <c r="A147" s="27" t="str">
        <f>[5]ITEMS_Comm!A173</f>
        <v/>
      </c>
      <c r="B147" s="19" t="str">
        <f>[5]ITEMS_Comm!B173</f>
        <v>E</v>
      </c>
      <c r="C147" s="27" t="str">
        <f>[5]ITEMS_Comm!C173</f>
        <v>IFBS</v>
      </c>
      <c r="D147" s="27" t="str">
        <f>[5]ITEMS_Comm!D173</f>
        <v>Industry-Food, Beverage &amp; Tabacco-boiler/process heating - Electricity - Existing</v>
      </c>
      <c r="E147" s="19" t="str">
        <f>[5]ITEMS_Comm!E173</f>
        <v>PJ</v>
      </c>
      <c r="F147" s="19" t="str">
        <f>[5]ITEMS_Comm!F173</f>
        <v>COM,DEM,ANNUAL,RES</v>
      </c>
    </row>
    <row r="148" spans="1:6">
      <c r="A148" s="27" t="str">
        <f>[5]ITEMS_Comm!A174</f>
        <v/>
      </c>
      <c r="B148" s="19" t="str">
        <f>[5]ITEMS_Comm!B174</f>
        <v>E</v>
      </c>
      <c r="C148" s="27" t="str">
        <f>[5]ITEMS_Comm!C174</f>
        <v>IFBS</v>
      </c>
      <c r="D148" s="27" t="str">
        <f>[5]ITEMS_Comm!D174</f>
        <v>Industry-Food, Beverage &amp; Tabacco-boiler/process heating - Biomass bagasse - Existing</v>
      </c>
      <c r="E148" s="19" t="str">
        <f>[5]ITEMS_Comm!E174</f>
        <v>PJ</v>
      </c>
      <c r="F148" s="19" t="str">
        <f>[5]ITEMS_Comm!F174</f>
        <v>COM,DEM,ANNUAL,RES</v>
      </c>
    </row>
    <row r="149" spans="1:6">
      <c r="A149" s="27" t="str">
        <f>[5]ITEMS_Comm!A175</f>
        <v/>
      </c>
      <c r="B149" s="19" t="str">
        <f>[5]ITEMS_Comm!B175</f>
        <v>E</v>
      </c>
      <c r="C149" s="27" t="str">
        <f>[5]ITEMS_Comm!C175</f>
        <v>IFBS</v>
      </c>
      <c r="D149" s="27" t="str">
        <f>[5]ITEMS_Comm!D175</f>
        <v>Industry-Food, Beverage &amp; Tabacco-boiler/process heating - Waste - Existing</v>
      </c>
      <c r="E149" s="19" t="str">
        <f>[5]ITEMS_Comm!E175</f>
        <v>PJ</v>
      </c>
      <c r="F149" s="19" t="str">
        <f>[5]ITEMS_Comm!F175</f>
        <v>COM,DEM,ANNUAL,RES</v>
      </c>
    </row>
    <row r="150" spans="1:6">
      <c r="A150" s="27" t="str">
        <f>[5]ITEMS_Comm!A176</f>
        <v>*</v>
      </c>
      <c r="B150" s="19" t="str">
        <f>[5]ITEMS_Comm!B176</f>
        <v>E</v>
      </c>
      <c r="C150" s="27" t="str">
        <f>[5]ITEMS_Comm!C176</f>
        <v>Useful Energy Service</v>
      </c>
      <c r="D150" s="27" t="str">
        <f>[5]ITEMS_Comm!D176</f>
        <v/>
      </c>
      <c r="E150" s="19" t="str">
        <f>[5]ITEMS_Comm!E176</f>
        <v>PJ</v>
      </c>
      <c r="F150" s="19" t="str">
        <f>[5]ITEMS_Comm!F176</f>
        <v>COM,DEM,ANNUAL,RES</v>
      </c>
    </row>
    <row r="151" spans="1:6">
      <c r="A151" s="27" t="str">
        <f>[5]ITEMS_Comm!A177</f>
        <v>*</v>
      </c>
      <c r="B151" s="19" t="str">
        <f>[5]ITEMS_Comm!B177</f>
        <v>E</v>
      </c>
      <c r="C151" s="27">
        <f>[5]ITEMS_Comm!C177</f>
        <v>0</v>
      </c>
      <c r="D151" s="27" t="str">
        <f>[5]ITEMS_Comm!D177</f>
        <v/>
      </c>
      <c r="E151" s="19" t="str">
        <f>[5]ITEMS_Comm!E177</f>
        <v>PJ</v>
      </c>
      <c r="F151" s="19" t="str">
        <f>[5]ITEMS_Comm!F177</f>
        <v>COM,DEM,ANNUAL,RES</v>
      </c>
    </row>
    <row r="152" spans="1:6">
      <c r="A152" s="27" t="str">
        <f>[5]ITEMS_Comm!A178</f>
        <v>*</v>
      </c>
      <c r="B152" s="19" t="str">
        <f>[5]ITEMS_Comm!B178</f>
        <v>E</v>
      </c>
      <c r="C152" s="27">
        <f>[5]ITEMS_Comm!C178</f>
        <v>2</v>
      </c>
      <c r="D152" s="27" t="str">
        <f>[5]ITEMS_Comm!D178</f>
        <v/>
      </c>
      <c r="E152" s="19" t="str">
        <f>[5]ITEMS_Comm!E178</f>
        <v>PJ</v>
      </c>
      <c r="F152" s="19" t="str">
        <f>[5]ITEMS_Comm!F178</f>
        <v>COM,DEM,ANNUAL,RES</v>
      </c>
    </row>
    <row r="153" spans="1:6">
      <c r="A153" s="27" t="str">
        <f>[5]ITEMS_Comm!A179</f>
        <v>*</v>
      </c>
      <c r="B153" s="19" t="str">
        <f>[5]ITEMS_Comm!B179</f>
        <v>E</v>
      </c>
      <c r="C153" s="27" t="str">
        <f>[5]ITEMS_Comm!C179</f>
        <v>IPPK</v>
      </c>
      <c r="D153" s="27" t="str">
        <f>[5]ITEMS_Comm!D179</f>
        <v/>
      </c>
      <c r="E153" s="19" t="str">
        <f>[5]ITEMS_Comm!E179</f>
        <v>PJ</v>
      </c>
      <c r="F153" s="19" t="str">
        <f>[5]ITEMS_Comm!F179</f>
        <v>COM,DEM,ANNUAL,RES</v>
      </c>
    </row>
    <row r="154" spans="1:6">
      <c r="A154" s="27" t="str">
        <f>[5]ITEMS_Comm!A180</f>
        <v>*</v>
      </c>
      <c r="B154" s="19" t="str">
        <f>[5]ITEMS_Comm!B180</f>
        <v>E</v>
      </c>
      <c r="C154" s="27" t="str">
        <f>[5]ITEMS_Comm!C180</f>
        <v>IPPA</v>
      </c>
      <c r="D154" s="27" t="str">
        <f>[5]ITEMS_Comm!D180</f>
        <v/>
      </c>
      <c r="E154" s="19" t="str">
        <f>[5]ITEMS_Comm!E180</f>
        <v>PJ</v>
      </c>
      <c r="F154" s="19" t="str">
        <f>[5]ITEMS_Comm!F180</f>
        <v>COM,DEM,ANNUAL,RES</v>
      </c>
    </row>
    <row r="155" spans="1:6">
      <c r="A155" s="27" t="str">
        <f>[5]ITEMS_Comm!A181</f>
        <v>*</v>
      </c>
      <c r="B155" s="19" t="str">
        <f>[5]ITEMS_Comm!B181</f>
        <v>E</v>
      </c>
      <c r="C155" s="27" t="str">
        <f>[5]ITEMS_Comm!C181</f>
        <v>IPPL</v>
      </c>
      <c r="D155" s="27" t="str">
        <f>[5]ITEMS_Comm!D181</f>
        <v/>
      </c>
      <c r="E155" s="19" t="str">
        <f>[5]ITEMS_Comm!E181</f>
        <v>PJ</v>
      </c>
      <c r="F155" s="19" t="str">
        <f>[5]ITEMS_Comm!F181</f>
        <v>COM,DEM,ANNUAL,RES</v>
      </c>
    </row>
    <row r="156" spans="1:6">
      <c r="A156" s="27" t="str">
        <f>[5]ITEMS_Comm!A182</f>
        <v>*</v>
      </c>
      <c r="B156" s="19" t="str">
        <f>[5]ITEMS_Comm!B182</f>
        <v>E</v>
      </c>
      <c r="C156" s="27" t="str">
        <f>[5]ITEMS_Comm!C182</f>
        <v>IPPC</v>
      </c>
      <c r="D156" s="27" t="str">
        <f>[5]ITEMS_Comm!D182</f>
        <v/>
      </c>
      <c r="E156" s="19" t="str">
        <f>[5]ITEMS_Comm!E182</f>
        <v>PJ</v>
      </c>
      <c r="F156" s="19" t="str">
        <f>[5]ITEMS_Comm!F182</f>
        <v>COM,DEM,ANNUAL,RES</v>
      </c>
    </row>
    <row r="157" spans="1:6">
      <c r="A157" s="27" t="str">
        <f>[5]ITEMS_Comm!A183</f>
        <v>*</v>
      </c>
      <c r="B157" s="19" t="str">
        <f>[5]ITEMS_Comm!B183</f>
        <v>E</v>
      </c>
      <c r="C157" s="27" t="str">
        <f>[5]ITEMS_Comm!C183</f>
        <v>IPPH</v>
      </c>
      <c r="D157" s="27" t="str">
        <f>[5]ITEMS_Comm!D183</f>
        <v/>
      </c>
      <c r="E157" s="19" t="str">
        <f>[5]ITEMS_Comm!E183</f>
        <v>PJ</v>
      </c>
      <c r="F157" s="19" t="str">
        <f>[5]ITEMS_Comm!F183</f>
        <v>COM,DEM,ANNUAL,RES</v>
      </c>
    </row>
    <row r="158" spans="1:6">
      <c r="A158" s="27" t="str">
        <f>[5]ITEMS_Comm!A184</f>
        <v>*</v>
      </c>
      <c r="B158" s="19" t="str">
        <f>[5]ITEMS_Comm!B184</f>
        <v>E</v>
      </c>
      <c r="C158" s="27" t="str">
        <f>[5]ITEMS_Comm!C184</f>
        <v>IPPP</v>
      </c>
      <c r="D158" s="27" t="str">
        <f>[5]ITEMS_Comm!D184</f>
        <v/>
      </c>
      <c r="E158" s="19" t="str">
        <f>[5]ITEMS_Comm!E184</f>
        <v>PJ</v>
      </c>
      <c r="F158" s="19" t="str">
        <f>[5]ITEMS_Comm!F184</f>
        <v>COM,DEM,ANNUAL,RES</v>
      </c>
    </row>
    <row r="159" spans="1:6">
      <c r="A159" s="27" t="str">
        <f>[5]ITEMS_Comm!A185</f>
        <v>*</v>
      </c>
      <c r="B159" s="19" t="str">
        <f>[5]ITEMS_Comm!B185</f>
        <v>E</v>
      </c>
      <c r="C159" s="27" t="str">
        <f>[5]ITEMS_Comm!C185</f>
        <v>IPPF</v>
      </c>
      <c r="D159" s="27" t="str">
        <f>[5]ITEMS_Comm!D185</f>
        <v/>
      </c>
      <c r="E159" s="19" t="str">
        <f>[5]ITEMS_Comm!E185</f>
        <v>PJ</v>
      </c>
      <c r="F159" s="19" t="str">
        <f>[5]ITEMS_Comm!F185</f>
        <v>COM,DEM,ANNUAL,RES</v>
      </c>
    </row>
    <row r="160" spans="1:6">
      <c r="A160" s="27" t="str">
        <f>[5]ITEMS_Comm!A186</f>
        <v>*</v>
      </c>
      <c r="B160" s="19" t="str">
        <f>[5]ITEMS_Comm!B186</f>
        <v>E</v>
      </c>
      <c r="C160" s="27" t="str">
        <f>[5]ITEMS_Comm!C186</f>
        <v>IPPO</v>
      </c>
      <c r="D160" s="27" t="str">
        <f>[5]ITEMS_Comm!D186</f>
        <v/>
      </c>
      <c r="E160" s="19" t="str">
        <f>[5]ITEMS_Comm!E186</f>
        <v>PJ</v>
      </c>
      <c r="F160" s="19" t="str">
        <f>[5]ITEMS_Comm!F186</f>
        <v>COM,DEM,ANNUAL,RES</v>
      </c>
    </row>
    <row r="161" spans="1:6">
      <c r="A161" s="27" t="str">
        <f>[5]ITEMS_Comm!A187</f>
        <v>*</v>
      </c>
      <c r="B161" s="19" t="str">
        <f>[5]ITEMS_Comm!B187</f>
        <v>E</v>
      </c>
      <c r="C161" s="27" t="str">
        <f>[5]ITEMS_Comm!C187</f>
        <v>IPPE</v>
      </c>
      <c r="D161" s="27" t="str">
        <f>[5]ITEMS_Comm!D187</f>
        <v/>
      </c>
      <c r="E161" s="19" t="str">
        <f>[5]ITEMS_Comm!E187</f>
        <v>PJ</v>
      </c>
      <c r="F161" s="19" t="str">
        <f>[5]ITEMS_Comm!F187</f>
        <v>COM,DEM,ANNUAL,RES</v>
      </c>
    </row>
    <row r="162" spans="1:6">
      <c r="A162" s="27" t="str">
        <f>[5]ITEMS_Comm!A188</f>
        <v>*</v>
      </c>
      <c r="B162" s="19" t="str">
        <f>[5]ITEMS_Comm!B188</f>
        <v>E</v>
      </c>
      <c r="C162" s="27" t="str">
        <f>[5]ITEMS_Comm!C188</f>
        <v xml:space="preserve"> </v>
      </c>
      <c r="D162" s="27" t="str">
        <f>[5]ITEMS_Comm!D188</f>
        <v/>
      </c>
      <c r="E162" s="19" t="str">
        <f>[5]ITEMS_Comm!E188</f>
        <v>PJ</v>
      </c>
      <c r="F162" s="19" t="str">
        <f>[5]ITEMS_Comm!F188</f>
        <v>COM,DEM,ANNUAL,RES</v>
      </c>
    </row>
    <row r="163" spans="1:6">
      <c r="A163" s="27" t="str">
        <f>[5]ITEMS_Comm!A189</f>
        <v>*</v>
      </c>
      <c r="B163" s="19" t="str">
        <f>[5]ITEMS_Comm!B189</f>
        <v>E</v>
      </c>
      <c r="C163" s="27" t="str">
        <f>[5]ITEMS_Comm!C189</f>
        <v>IPPS</v>
      </c>
      <c r="D163" s="27" t="str">
        <f>[5]ITEMS_Comm!D189</f>
        <v/>
      </c>
      <c r="E163" s="19" t="str">
        <f>[5]ITEMS_Comm!E189</f>
        <v>PJ</v>
      </c>
      <c r="F163" s="19" t="str">
        <f>[5]ITEMS_Comm!F189</f>
        <v>COM,DEM,ANNUAL,RES</v>
      </c>
    </row>
    <row r="164" spans="1:6">
      <c r="A164" s="27" t="str">
        <f>[5]ITEMS_Comm!A190</f>
        <v>*</v>
      </c>
      <c r="B164" s="19" t="str">
        <f>[5]ITEMS_Comm!B190</f>
        <v>E</v>
      </c>
      <c r="C164" s="27" t="str">
        <f>[5]ITEMS_Comm!C190</f>
        <v>IPPS</v>
      </c>
      <c r="D164" s="27" t="str">
        <f>[5]ITEMS_Comm!D190</f>
        <v/>
      </c>
      <c r="E164" s="19" t="str">
        <f>[5]ITEMS_Comm!E190</f>
        <v>PJ</v>
      </c>
      <c r="F164" s="19" t="str">
        <f>[5]ITEMS_Comm!F190</f>
        <v>COM,DEM,ANNUAL,RES</v>
      </c>
    </row>
  </sheetData>
  <pageMargins left="0.75" right="0.75" top="1" bottom="1" header="0.5" footer="0.5"/>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J12" sqref="J12"/>
    </sheetView>
  </sheetViews>
  <sheetFormatPr defaultColWidth="8.88671875" defaultRowHeight="14.4"/>
  <cols>
    <col min="1" max="1" width="8.88671875" style="227"/>
    <col min="2" max="2" width="11.88671875" style="227" customWidth="1"/>
    <col min="3" max="3" width="34.88671875" style="227" customWidth="1"/>
    <col min="4" max="4" width="8.88671875" style="227"/>
    <col min="5" max="5" width="6.44140625" style="227" customWidth="1"/>
    <col min="6" max="6" width="9.6640625" style="227" customWidth="1"/>
    <col min="7" max="8" width="6.44140625" style="227" customWidth="1"/>
    <col min="9" max="9" width="9.109375" style="227" customWidth="1"/>
    <col min="10" max="10" width="8.88671875" style="5" customWidth="1"/>
    <col min="11" max="11" width="8.44140625" style="227" customWidth="1"/>
    <col min="12" max="29" width="6.44140625" style="227" customWidth="1"/>
    <col min="30" max="46" width="6.109375" style="227" customWidth="1"/>
    <col min="47" max="47" width="10.44140625" style="227" customWidth="1"/>
    <col min="48" max="48" width="6.109375" style="227" customWidth="1"/>
    <col min="49" max="16384" width="8.88671875" style="227"/>
  </cols>
  <sheetData>
    <row r="1" spans="1:48">
      <c r="A1" s="227" t="s">
        <v>678</v>
      </c>
      <c r="B1" s="227" t="s">
        <v>18</v>
      </c>
      <c r="G1" s="227" t="s">
        <v>290</v>
      </c>
    </row>
    <row r="2" spans="1:48" ht="15" thickBot="1">
      <c r="A2" s="227" t="s">
        <v>17</v>
      </c>
      <c r="B2" s="298" t="s">
        <v>198</v>
      </c>
      <c r="C2" s="298"/>
      <c r="G2" s="227" t="s">
        <v>289</v>
      </c>
      <c r="H2" s="227">
        <v>1</v>
      </c>
    </row>
    <row r="3" spans="1:48">
      <c r="A3" s="227" t="s">
        <v>17</v>
      </c>
      <c r="G3" s="227" t="s">
        <v>291</v>
      </c>
      <c r="H3" s="227">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227" t="s">
        <v>17</v>
      </c>
      <c r="D4" s="227">
        <v>2012</v>
      </c>
      <c r="E4" s="227">
        <v>2020</v>
      </c>
      <c r="F4" s="227">
        <v>2030</v>
      </c>
      <c r="G4" s="227">
        <v>2050</v>
      </c>
      <c r="H4" s="227">
        <v>1</v>
      </c>
      <c r="I4" s="227" t="s">
        <v>404</v>
      </c>
      <c r="J4" s="227">
        <f>MATCH(J$3,$D$4:$G$4,$H4)</f>
        <v>1</v>
      </c>
      <c r="K4" s="227">
        <f t="shared" ref="K4:AP5" si="0">MATCH(K$3,$D$4:$G$4,$H4)</f>
        <v>1</v>
      </c>
      <c r="L4" s="227">
        <f t="shared" si="0"/>
        <v>1</v>
      </c>
      <c r="M4" s="227">
        <f t="shared" si="0"/>
        <v>1</v>
      </c>
      <c r="N4" s="227">
        <f t="shared" si="0"/>
        <v>1</v>
      </c>
      <c r="O4" s="227">
        <f t="shared" si="0"/>
        <v>1</v>
      </c>
      <c r="P4" s="227">
        <f t="shared" si="0"/>
        <v>1</v>
      </c>
      <c r="Q4" s="227">
        <f t="shared" si="0"/>
        <v>1</v>
      </c>
      <c r="R4" s="227">
        <f t="shared" si="0"/>
        <v>2</v>
      </c>
      <c r="S4" s="227">
        <f t="shared" si="0"/>
        <v>2</v>
      </c>
      <c r="T4" s="227">
        <f t="shared" si="0"/>
        <v>2</v>
      </c>
      <c r="U4" s="227">
        <f t="shared" si="0"/>
        <v>2</v>
      </c>
      <c r="V4" s="227">
        <f t="shared" si="0"/>
        <v>2</v>
      </c>
      <c r="W4" s="227">
        <f t="shared" si="0"/>
        <v>2</v>
      </c>
      <c r="X4" s="227">
        <f t="shared" si="0"/>
        <v>2</v>
      </c>
      <c r="Y4" s="227">
        <f t="shared" si="0"/>
        <v>2</v>
      </c>
      <c r="Z4" s="227">
        <f t="shared" si="0"/>
        <v>2</v>
      </c>
      <c r="AA4" s="227">
        <f t="shared" si="0"/>
        <v>2</v>
      </c>
      <c r="AB4" s="227">
        <f t="shared" si="0"/>
        <v>3</v>
      </c>
      <c r="AC4" s="227">
        <f t="shared" si="0"/>
        <v>3</v>
      </c>
      <c r="AD4" s="227">
        <f t="shared" si="0"/>
        <v>3</v>
      </c>
      <c r="AE4" s="227">
        <f t="shared" si="0"/>
        <v>3</v>
      </c>
      <c r="AF4" s="227">
        <f t="shared" si="0"/>
        <v>3</v>
      </c>
      <c r="AG4" s="227">
        <f t="shared" si="0"/>
        <v>3</v>
      </c>
      <c r="AH4" s="227">
        <f t="shared" si="0"/>
        <v>3</v>
      </c>
      <c r="AI4" s="227">
        <f t="shared" si="0"/>
        <v>3</v>
      </c>
      <c r="AJ4" s="227">
        <f t="shared" si="0"/>
        <v>3</v>
      </c>
      <c r="AK4" s="227">
        <f t="shared" si="0"/>
        <v>3</v>
      </c>
      <c r="AL4" s="227">
        <f t="shared" si="0"/>
        <v>3</v>
      </c>
      <c r="AM4" s="227">
        <f t="shared" si="0"/>
        <v>3</v>
      </c>
      <c r="AN4" s="227">
        <f t="shared" si="0"/>
        <v>4</v>
      </c>
      <c r="AO4" s="227">
        <f t="shared" si="0"/>
        <v>4</v>
      </c>
      <c r="AP4" s="227">
        <f t="shared" si="0"/>
        <v>4</v>
      </c>
    </row>
    <row r="5" spans="1:48">
      <c r="A5" s="227" t="s">
        <v>17</v>
      </c>
      <c r="D5" s="227">
        <f>INDEX($D4:$G4,0,COUNT($D4:$G4)-D6)</f>
        <v>2050</v>
      </c>
      <c r="E5" s="227">
        <f>INDEX($D4:$G4,0,COUNT($D4:$G4)-E6)</f>
        <v>2030</v>
      </c>
      <c r="F5" s="227">
        <f>INDEX($D4:$G4,0,COUNT($D4:$G4)-F6)</f>
        <v>2020</v>
      </c>
      <c r="G5" s="227">
        <f>INDEX($D4:$G4,0,COUNT($D4:$G4)-G6)</f>
        <v>2012</v>
      </c>
      <c r="H5" s="227">
        <v>0</v>
      </c>
      <c r="I5" s="227" t="s">
        <v>405</v>
      </c>
      <c r="J5" s="227">
        <f t="shared" ref="J5:Y5" si="1">MATCH(J$3,$D$4:$G$4,$H5)</f>
        <v>1</v>
      </c>
      <c r="K5" s="227" t="e">
        <f t="shared" si="1"/>
        <v>#N/A</v>
      </c>
      <c r="L5" s="227" t="e">
        <f t="shared" si="1"/>
        <v>#N/A</v>
      </c>
      <c r="M5" s="227" t="e">
        <f t="shared" si="1"/>
        <v>#N/A</v>
      </c>
      <c r="N5" s="227" t="e">
        <f t="shared" si="1"/>
        <v>#N/A</v>
      </c>
      <c r="O5" s="227" t="e">
        <f t="shared" si="1"/>
        <v>#N/A</v>
      </c>
      <c r="P5" s="227" t="e">
        <f t="shared" si="1"/>
        <v>#N/A</v>
      </c>
      <c r="Q5" s="227" t="e">
        <f t="shared" si="1"/>
        <v>#N/A</v>
      </c>
      <c r="R5" s="227">
        <f t="shared" si="1"/>
        <v>2</v>
      </c>
      <c r="S5" s="227" t="e">
        <f t="shared" si="1"/>
        <v>#N/A</v>
      </c>
      <c r="T5" s="227" t="e">
        <f t="shared" si="1"/>
        <v>#N/A</v>
      </c>
      <c r="U5" s="227" t="e">
        <f t="shared" si="1"/>
        <v>#N/A</v>
      </c>
      <c r="V5" s="227" t="e">
        <f t="shared" si="1"/>
        <v>#N/A</v>
      </c>
      <c r="W5" s="227" t="e">
        <f t="shared" si="1"/>
        <v>#N/A</v>
      </c>
      <c r="X5" s="227" t="e">
        <f t="shared" si="1"/>
        <v>#N/A</v>
      </c>
      <c r="Y5" s="227" t="e">
        <f t="shared" si="1"/>
        <v>#N/A</v>
      </c>
      <c r="Z5" s="227" t="e">
        <f t="shared" si="0"/>
        <v>#N/A</v>
      </c>
      <c r="AA5" s="227" t="e">
        <f t="shared" si="0"/>
        <v>#N/A</v>
      </c>
      <c r="AB5" s="227">
        <f t="shared" si="0"/>
        <v>3</v>
      </c>
      <c r="AC5" s="227" t="e">
        <f t="shared" si="0"/>
        <v>#N/A</v>
      </c>
      <c r="AD5" s="227" t="e">
        <f t="shared" si="0"/>
        <v>#N/A</v>
      </c>
      <c r="AE5" s="227" t="e">
        <f t="shared" si="0"/>
        <v>#N/A</v>
      </c>
      <c r="AF5" s="227" t="e">
        <f t="shared" si="0"/>
        <v>#N/A</v>
      </c>
      <c r="AG5" s="227" t="e">
        <f t="shared" si="0"/>
        <v>#N/A</v>
      </c>
      <c r="AH5" s="227" t="e">
        <f t="shared" si="0"/>
        <v>#N/A</v>
      </c>
      <c r="AI5" s="227" t="e">
        <f t="shared" si="0"/>
        <v>#N/A</v>
      </c>
      <c r="AJ5" s="227" t="e">
        <f t="shared" si="0"/>
        <v>#N/A</v>
      </c>
      <c r="AK5" s="227" t="e">
        <f t="shared" si="0"/>
        <v>#N/A</v>
      </c>
      <c r="AL5" s="227" t="e">
        <f t="shared" si="0"/>
        <v>#N/A</v>
      </c>
      <c r="AM5" s="227" t="e">
        <f t="shared" si="0"/>
        <v>#N/A</v>
      </c>
      <c r="AN5" s="227">
        <f t="shared" si="0"/>
        <v>4</v>
      </c>
      <c r="AO5" s="227" t="e">
        <f t="shared" si="0"/>
        <v>#N/A</v>
      </c>
      <c r="AP5" s="227" t="e">
        <f t="shared" si="0"/>
        <v>#N/A</v>
      </c>
    </row>
    <row r="6" spans="1:48">
      <c r="A6" s="227" t="s">
        <v>17</v>
      </c>
      <c r="D6" s="227">
        <v>0</v>
      </c>
      <c r="E6" s="227">
        <v>1</v>
      </c>
      <c r="F6" s="227">
        <v>2</v>
      </c>
      <c r="G6" s="227">
        <v>3</v>
      </c>
      <c r="H6" s="227">
        <v>-1</v>
      </c>
      <c r="I6" s="227" t="s">
        <v>403</v>
      </c>
      <c r="J6" s="227">
        <f>MATCH(J$3,$D$5:$G$5,$H6)</f>
        <v>4</v>
      </c>
      <c r="K6" s="227">
        <f t="shared" ref="K6:AP6" si="2">MATCH(K$3,$D$5:$G$5,$H6)</f>
        <v>3</v>
      </c>
      <c r="L6" s="227">
        <f t="shared" si="2"/>
        <v>3</v>
      </c>
      <c r="M6" s="227">
        <f t="shared" si="2"/>
        <v>3</v>
      </c>
      <c r="N6" s="227">
        <f t="shared" si="2"/>
        <v>3</v>
      </c>
      <c r="O6" s="227">
        <f t="shared" si="2"/>
        <v>3</v>
      </c>
      <c r="P6" s="227">
        <f t="shared" si="2"/>
        <v>3</v>
      </c>
      <c r="Q6" s="227">
        <f t="shared" si="2"/>
        <v>3</v>
      </c>
      <c r="R6" s="227">
        <f t="shared" si="2"/>
        <v>3</v>
      </c>
      <c r="S6" s="227">
        <f t="shared" si="2"/>
        <v>2</v>
      </c>
      <c r="T6" s="227">
        <f t="shared" si="2"/>
        <v>2</v>
      </c>
      <c r="U6" s="227">
        <f t="shared" si="2"/>
        <v>2</v>
      </c>
      <c r="V6" s="227">
        <f t="shared" si="2"/>
        <v>2</v>
      </c>
      <c r="W6" s="227">
        <f t="shared" si="2"/>
        <v>2</v>
      </c>
      <c r="X6" s="227">
        <f t="shared" si="2"/>
        <v>2</v>
      </c>
      <c r="Y6" s="227">
        <f t="shared" si="2"/>
        <v>2</v>
      </c>
      <c r="Z6" s="227">
        <f t="shared" si="2"/>
        <v>2</v>
      </c>
      <c r="AA6" s="227">
        <f t="shared" si="2"/>
        <v>2</v>
      </c>
      <c r="AB6" s="227">
        <f t="shared" si="2"/>
        <v>2</v>
      </c>
      <c r="AC6" s="227">
        <f t="shared" si="2"/>
        <v>1</v>
      </c>
      <c r="AD6" s="227">
        <f t="shared" si="2"/>
        <v>1</v>
      </c>
      <c r="AE6" s="227">
        <f t="shared" si="2"/>
        <v>1</v>
      </c>
      <c r="AF6" s="227">
        <f t="shared" si="2"/>
        <v>1</v>
      </c>
      <c r="AG6" s="227">
        <f t="shared" si="2"/>
        <v>1</v>
      </c>
      <c r="AH6" s="227">
        <f t="shared" si="2"/>
        <v>1</v>
      </c>
      <c r="AI6" s="227">
        <f t="shared" si="2"/>
        <v>1</v>
      </c>
      <c r="AJ6" s="227">
        <f t="shared" si="2"/>
        <v>1</v>
      </c>
      <c r="AK6" s="227">
        <f t="shared" si="2"/>
        <v>1</v>
      </c>
      <c r="AL6" s="227">
        <f t="shared" si="2"/>
        <v>1</v>
      </c>
      <c r="AM6" s="227">
        <f t="shared" si="2"/>
        <v>1</v>
      </c>
      <c r="AN6" s="227">
        <f>MATCH(AN$3,$D$5:$G$5,$H6)</f>
        <v>1</v>
      </c>
      <c r="AO6" s="227" t="e">
        <f t="shared" si="2"/>
        <v>#N/A</v>
      </c>
      <c r="AP6" s="227" t="e">
        <f t="shared" si="2"/>
        <v>#N/A</v>
      </c>
    </row>
    <row r="7" spans="1:48">
      <c r="A7" s="227" t="s">
        <v>17</v>
      </c>
      <c r="I7" s="227" t="s">
        <v>406</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 thickBot="1">
      <c r="A8" s="227" t="s">
        <v>17</v>
      </c>
      <c r="B8" s="14" t="s">
        <v>12</v>
      </c>
      <c r="C8" s="14"/>
      <c r="D8" s="14"/>
      <c r="E8" s="14"/>
      <c r="F8" s="14"/>
    </row>
    <row r="9" spans="1:48">
      <c r="A9" s="227" t="s">
        <v>17</v>
      </c>
      <c r="B9" s="227" t="s">
        <v>10</v>
      </c>
      <c r="C9" s="227" t="s">
        <v>11</v>
      </c>
      <c r="D9" s="227" t="s">
        <v>288</v>
      </c>
      <c r="E9" s="227" t="s">
        <v>287</v>
      </c>
      <c r="J9" s="5">
        <f>MATCH(J3,MCEcon!$C$42:$AG$42,0)</f>
        <v>1</v>
      </c>
      <c r="K9" s="5">
        <f>MATCH(K3,MCEcon!$C$42:$AG$42,0)</f>
        <v>2</v>
      </c>
      <c r="L9" s="5">
        <f>MATCH(L3,MCEcon!$C$42:$AG$42,0)</f>
        <v>3</v>
      </c>
      <c r="M9" s="5">
        <f>MATCH(M3,MCEcon!$C$42:$AG$42,0)</f>
        <v>4</v>
      </c>
      <c r="N9" s="5">
        <f>MATCH(N3,MCEcon!$C$42:$AG$42,0)</f>
        <v>5</v>
      </c>
      <c r="O9" s="5">
        <f>MATCH(O3,MCEcon!$C$42:$AG$42,0)</f>
        <v>6</v>
      </c>
      <c r="P9" s="5">
        <f>MATCH(P3,MCEcon!$C$42:$AG$42,0)</f>
        <v>7</v>
      </c>
      <c r="Q9" s="5">
        <f>MATCH(Q3,MCEcon!$C$42:$AG$42,0)</f>
        <v>8</v>
      </c>
      <c r="R9" s="5">
        <f>MATCH(R3,MCEcon!$C$42:$AG$42,0)</f>
        <v>9</v>
      </c>
      <c r="S9" s="5">
        <f>MATCH(S3,MCEcon!$C$42:$AG$42,0)</f>
        <v>10</v>
      </c>
      <c r="T9" s="5">
        <f>MATCH(T3,MCEcon!$C$42:$AG$42,0)</f>
        <v>11</v>
      </c>
      <c r="U9" s="5">
        <f>MATCH(U3,MCEcon!$C$42:$AG$42,0)</f>
        <v>12</v>
      </c>
      <c r="V9" s="5">
        <f>MATCH(V3,MCEcon!$C$42:$AG$42,0)</f>
        <v>13</v>
      </c>
      <c r="W9" s="5">
        <f>MATCH(W3,MCEcon!$C$42:$AG$42,0)</f>
        <v>14</v>
      </c>
      <c r="X9" s="5">
        <f>MATCH(X3,MCEcon!$C$42:$AG$42,0)</f>
        <v>15</v>
      </c>
      <c r="Y9" s="5">
        <f>MATCH(Y3,MCEcon!$C$42:$AG$42,0)</f>
        <v>16</v>
      </c>
      <c r="Z9" s="5">
        <f>MATCH(Z3,MCEcon!$C$42:$AG$42,0)</f>
        <v>17</v>
      </c>
      <c r="AA9" s="5">
        <f>MATCH(AA3,MCEcon!$C$42:$AG$42,0)</f>
        <v>18</v>
      </c>
      <c r="AB9" s="5">
        <f>MATCH(AB3,MCEcon!$C$42:$AG$42,0)</f>
        <v>19</v>
      </c>
      <c r="AC9" s="5">
        <f>MATCH(AC3,MCEcon!$C$42:$AG$42,0)</f>
        <v>20</v>
      </c>
      <c r="AD9" s="5">
        <f>MATCH(AD3,MCEcon!$C$42:$AG$42,0)</f>
        <v>21</v>
      </c>
      <c r="AE9" s="5">
        <f>MATCH(AE3,MCEcon!$C$42:$AG$42,0)</f>
        <v>22</v>
      </c>
      <c r="AF9" s="5">
        <f>MATCH(AF3,MCEcon!$C$42:$AG$42,0)</f>
        <v>23</v>
      </c>
      <c r="AG9" s="5">
        <f>MATCH(AG3,MCEcon!$C$42:$AG$42,0)</f>
        <v>24</v>
      </c>
      <c r="AH9" s="5">
        <f>MATCH(AH3,MCEcon!$C$42:$AG$42,0)</f>
        <v>25</v>
      </c>
      <c r="AI9" s="5">
        <f>MATCH(AI3,MCEcon!$C$42:$AG$42,0)</f>
        <v>26</v>
      </c>
      <c r="AJ9" s="5">
        <f>MATCH(AJ3,MCEcon!$C$42:$AG$42,0)</f>
        <v>27</v>
      </c>
      <c r="AK9" s="5">
        <f>MATCH(AK3,MCEcon!$C$42:$AG$42,0)</f>
        <v>28</v>
      </c>
      <c r="AL9" s="5">
        <f>MATCH(AL3,MCEcon!$C$42:$AG$42,0)</f>
        <v>29</v>
      </c>
      <c r="AM9" s="5">
        <f>MATCH(AM3,MCEcon!$C$42:$AG$42,0)</f>
        <v>30</v>
      </c>
      <c r="AN9" s="5">
        <f>MATCH(AN3,MCEcon!$C$42:$AG$42,0)</f>
        <v>31</v>
      </c>
      <c r="AO9" s="227">
        <f>AN9+1</f>
        <v>32</v>
      </c>
      <c r="AP9" s="227">
        <f>AO9+1</f>
        <v>33</v>
      </c>
    </row>
    <row r="10" spans="1:48">
      <c r="A10" s="227" t="s">
        <v>17</v>
      </c>
      <c r="B10" s="228" t="str">
        <f>[5]IND!B10</f>
        <v>MI</v>
      </c>
      <c r="C10" s="228" t="str">
        <f>[5]IND!A10</f>
        <v>Mining</v>
      </c>
      <c r="D10" s="227">
        <f>[5]IND!M10</f>
        <v>1</v>
      </c>
      <c r="F10" s="228"/>
      <c r="G10" s="227">
        <f>MATCH(B10,MCEcon!$A$44:$A$59,0)</f>
        <v>3</v>
      </c>
      <c r="H10" s="228"/>
      <c r="I10" s="228"/>
      <c r="J10" s="227">
        <f>INDEX(MCEcon!$C$44:$AG$59,$G10,J$9)</f>
        <v>3.0070957798834522E-2</v>
      </c>
      <c r="K10" s="227">
        <f>INDEX(MCEcon!$C$44:$AG$59,$G10,K$9)</f>
        <v>3.0461828827325194E-2</v>
      </c>
      <c r="L10" s="227">
        <f>INDEX(MCEcon!$C$44:$AG$59,$G10,L$9)</f>
        <v>3.0852699855815867E-2</v>
      </c>
      <c r="M10" s="227">
        <f>INDEX(MCEcon!$C$44:$AG$59,$G10,M$9)</f>
        <v>3.1243570884306543E-2</v>
      </c>
      <c r="N10" s="227">
        <f>INDEX(MCEcon!$C$44:$AG$59,$G10,N$9)</f>
        <v>3.1250850536416359E-2</v>
      </c>
      <c r="O10" s="227">
        <f>INDEX(MCEcon!$C$44:$AG$59,$G10,O$9)</f>
        <v>3.1258130188526176E-2</v>
      </c>
      <c r="P10" s="227">
        <f>INDEX(MCEcon!$C$44:$AG$59,$G10,P$9)</f>
        <v>3.1265409840635992E-2</v>
      </c>
      <c r="Q10" s="227">
        <f>INDEX(MCEcon!$C$44:$AG$59,$G10,Q$9)</f>
        <v>3.1272689492745809E-2</v>
      </c>
      <c r="R10" s="227">
        <f>INDEX(MCEcon!$C$44:$AG$59,$G10,R$9)</f>
        <v>3.1279969144855632E-2</v>
      </c>
      <c r="S10" s="227">
        <f>INDEX(MCEcon!$C$44:$AG$59,$G10,S$9)</f>
        <v>3.1637160053829182E-2</v>
      </c>
      <c r="T10" s="227">
        <f>INDEX(MCEcon!$C$44:$AG$59,$G10,T$9)</f>
        <v>3.1994350962802731E-2</v>
      </c>
      <c r="U10" s="227">
        <f>INDEX(MCEcon!$C$44:$AG$59,$G10,U$9)</f>
        <v>3.2351541871776281E-2</v>
      </c>
      <c r="V10" s="227">
        <f>INDEX(MCEcon!$C$44:$AG$59,$G10,V$9)</f>
        <v>3.270873278074983E-2</v>
      </c>
      <c r="W10" s="227">
        <f>INDEX(MCEcon!$C$44:$AG$59,$G10,W$9)</f>
        <v>3.3065923689723394E-2</v>
      </c>
      <c r="X10" s="227">
        <f>INDEX(MCEcon!$C$44:$AG$59,$G10,X$9)</f>
        <v>3.3723452032469951E-2</v>
      </c>
      <c r="Y10" s="227">
        <f>INDEX(MCEcon!$C$44:$AG$59,$G10,Y$9)</f>
        <v>3.4380980375216509E-2</v>
      </c>
      <c r="Z10" s="227">
        <f>INDEX(MCEcon!$C$44:$AG$59,$G10,Z$9)</f>
        <v>3.5038508717963067E-2</v>
      </c>
      <c r="AA10" s="227">
        <f>INDEX(MCEcon!$C$44:$AG$59,$G10,AA$9)</f>
        <v>3.5696037060709625E-2</v>
      </c>
      <c r="AB10" s="227">
        <f>INDEX(MCEcon!$C$44:$AG$59,$G10,AB$9)</f>
        <v>3.6353565403456183E-2</v>
      </c>
      <c r="AC10" s="227">
        <f>INDEX(MCEcon!$C$44:$AG$59,$G10,AC$9)</f>
        <v>3.7101967918952046E-2</v>
      </c>
      <c r="AD10" s="227">
        <f>INDEX(MCEcon!$C$44:$AG$59,$G10,AD$9)</f>
        <v>3.7850370434447909E-2</v>
      </c>
      <c r="AE10" s="227">
        <f>INDEX(MCEcon!$C$44:$AG$59,$G10,AE$9)</f>
        <v>3.8598772949943773E-2</v>
      </c>
      <c r="AF10" s="227">
        <f>INDEX(MCEcon!$C$44:$AG$59,$G10,AF$9)</f>
        <v>3.9347175465439636E-2</v>
      </c>
      <c r="AG10" s="227">
        <f>INDEX(MCEcon!$C$44:$AG$59,$G10,AG$9)</f>
        <v>4.0095577980935493E-2</v>
      </c>
      <c r="AH10" s="227">
        <f>INDEX(MCEcon!$C$44:$AG$59,$G10,AH$9)</f>
        <v>4.0991057666264367E-2</v>
      </c>
      <c r="AI10" s="227">
        <f>INDEX(MCEcon!$C$44:$AG$59,$G10,AI$9)</f>
        <v>4.1886537351593242E-2</v>
      </c>
      <c r="AJ10" s="227">
        <f>INDEX(MCEcon!$C$44:$AG$59,$G10,AJ$9)</f>
        <v>4.2782017036922117E-2</v>
      </c>
      <c r="AK10" s="227">
        <f>INDEX(MCEcon!$C$44:$AG$59,$G10,AK$9)</f>
        <v>4.3677496722250991E-2</v>
      </c>
      <c r="AL10" s="227">
        <f>INDEX(MCEcon!$C$44:$AG$59,$G10,AL$9)</f>
        <v>4.4572976407579859E-2</v>
      </c>
      <c r="AM10" s="227">
        <f>INDEX(MCEcon!$C$44:$AG$59,$G10,AM$9)</f>
        <v>4.8664525304964311E-2</v>
      </c>
      <c r="AN10" s="227">
        <f>INDEX(MCEcon!$C$44:$AG$59,$G10,AN$9)</f>
        <v>5.2591495766300678E-2</v>
      </c>
      <c r="AO10" s="227">
        <f>FORECAST(AO$3,$AL10:$AN10,$AL$3:$AN$3)</f>
        <v>6.0637444864362733E-2</v>
      </c>
      <c r="AP10" s="227">
        <f>FORECAST(AP$3,$AL10:$AN10,$AL$3:$AN$3)</f>
        <v>6.865596422308351E-2</v>
      </c>
    </row>
    <row r="11" spans="1:48">
      <c r="A11" s="227" t="s">
        <v>17</v>
      </c>
      <c r="B11" s="228" t="str">
        <f>[5]IND!B11</f>
        <v>FA</v>
      </c>
      <c r="C11" s="228" t="str">
        <f>[5]IND!A11</f>
        <v>Ferro Alloys</v>
      </c>
      <c r="D11" s="227">
        <f>[5]IND!M11</f>
        <v>0</v>
      </c>
      <c r="F11" s="228" t="s">
        <v>505</v>
      </c>
      <c r="G11" s="227">
        <f>G10</f>
        <v>3</v>
      </c>
      <c r="H11" s="228"/>
      <c r="I11" s="228"/>
      <c r="J11" s="227">
        <f>INDEX(MCEcon!$C$44:$AG$59,$G11,J$9)</f>
        <v>3.0070957798834522E-2</v>
      </c>
      <c r="K11" s="227">
        <f>INDEX(MCEcon!$C$44:$AG$59,$G11,K$9)</f>
        <v>3.0461828827325194E-2</v>
      </c>
      <c r="L11" s="227">
        <f>INDEX(MCEcon!$C$44:$AG$59,$G11,L$9)</f>
        <v>3.0852699855815867E-2</v>
      </c>
      <c r="M11" s="227">
        <f>INDEX(MCEcon!$C$44:$AG$59,$G11,M$9)</f>
        <v>3.1243570884306543E-2</v>
      </c>
      <c r="N11" s="227">
        <f>INDEX(MCEcon!$C$44:$AG$59,$G11,N$9)</f>
        <v>3.1250850536416359E-2</v>
      </c>
      <c r="O11" s="227">
        <f>INDEX(MCEcon!$C$44:$AG$59,$G11,O$9)</f>
        <v>3.1258130188526176E-2</v>
      </c>
      <c r="P11" s="227">
        <f>INDEX(MCEcon!$C$44:$AG$59,$G11,P$9)</f>
        <v>3.1265409840635992E-2</v>
      </c>
      <c r="Q11" s="227">
        <f>INDEX(MCEcon!$C$44:$AG$59,$G11,Q$9)</f>
        <v>3.1272689492745809E-2</v>
      </c>
      <c r="R11" s="227">
        <f>INDEX(MCEcon!$C$44:$AG$59,$G11,R$9)</f>
        <v>3.1279969144855632E-2</v>
      </c>
      <c r="S11" s="227">
        <f>INDEX(MCEcon!$C$44:$AG$59,$G11,S$9)</f>
        <v>3.1637160053829182E-2</v>
      </c>
      <c r="T11" s="227">
        <f>INDEX(MCEcon!$C$44:$AG$59,$G11,T$9)</f>
        <v>3.1994350962802731E-2</v>
      </c>
      <c r="U11" s="227">
        <f>INDEX(MCEcon!$C$44:$AG$59,$G11,U$9)</f>
        <v>3.2351541871776281E-2</v>
      </c>
      <c r="V11" s="227">
        <f>INDEX(MCEcon!$C$44:$AG$59,$G11,V$9)</f>
        <v>3.270873278074983E-2</v>
      </c>
      <c r="W11" s="227">
        <f>INDEX(MCEcon!$C$44:$AG$59,$G11,W$9)</f>
        <v>3.3065923689723394E-2</v>
      </c>
      <c r="X11" s="227">
        <f>INDEX(MCEcon!$C$44:$AG$59,$G11,X$9)</f>
        <v>3.3723452032469951E-2</v>
      </c>
      <c r="Y11" s="227">
        <f>INDEX(MCEcon!$C$44:$AG$59,$G11,Y$9)</f>
        <v>3.4380980375216509E-2</v>
      </c>
      <c r="Z11" s="227">
        <f>INDEX(MCEcon!$C$44:$AG$59,$G11,Z$9)</f>
        <v>3.5038508717963067E-2</v>
      </c>
      <c r="AA11" s="227">
        <f>INDEX(MCEcon!$C$44:$AG$59,$G11,AA$9)</f>
        <v>3.5696037060709625E-2</v>
      </c>
      <c r="AB11" s="227">
        <f>INDEX(MCEcon!$C$44:$AG$59,$G11,AB$9)</f>
        <v>3.6353565403456183E-2</v>
      </c>
      <c r="AC11" s="227">
        <f>INDEX(MCEcon!$C$44:$AG$59,$G11,AC$9)</f>
        <v>3.7101967918952046E-2</v>
      </c>
      <c r="AD11" s="227">
        <f>INDEX(MCEcon!$C$44:$AG$59,$G11,AD$9)</f>
        <v>3.7850370434447909E-2</v>
      </c>
      <c r="AE11" s="227">
        <f>INDEX(MCEcon!$C$44:$AG$59,$G11,AE$9)</f>
        <v>3.8598772949943773E-2</v>
      </c>
      <c r="AF11" s="227">
        <f>INDEX(MCEcon!$C$44:$AG$59,$G11,AF$9)</f>
        <v>3.9347175465439636E-2</v>
      </c>
      <c r="AG11" s="227">
        <f>INDEX(MCEcon!$C$44:$AG$59,$G11,AG$9)</f>
        <v>4.0095577980935493E-2</v>
      </c>
      <c r="AH11" s="227">
        <f>INDEX(MCEcon!$C$44:$AG$59,$G11,AH$9)</f>
        <v>4.0991057666264367E-2</v>
      </c>
      <c r="AI11" s="227">
        <f>INDEX(MCEcon!$C$44:$AG$59,$G11,AI$9)</f>
        <v>4.1886537351593242E-2</v>
      </c>
      <c r="AJ11" s="227">
        <f>INDEX(MCEcon!$C$44:$AG$59,$G11,AJ$9)</f>
        <v>4.2782017036922117E-2</v>
      </c>
      <c r="AK11" s="227">
        <f>INDEX(MCEcon!$C$44:$AG$59,$G11,AK$9)</f>
        <v>4.3677496722250991E-2</v>
      </c>
      <c r="AL11" s="227">
        <f>INDEX(MCEcon!$C$44:$AG$59,$G11,AL$9)</f>
        <v>4.4572976407579859E-2</v>
      </c>
      <c r="AM11" s="227">
        <f>INDEX(MCEcon!$C$44:$AG$59,$G11,AM$9)</f>
        <v>4.8664525304964311E-2</v>
      </c>
      <c r="AN11" s="227">
        <f>INDEX(MCEcon!$C$44:$AG$59,$G11,AN$9)</f>
        <v>5.2591495766300678E-2</v>
      </c>
      <c r="AO11" s="227">
        <f t="shared" ref="AO11:AP22" si="4">FORECAST(AO$3,$AL11:$AN11,$AL$3:$AN$3)</f>
        <v>6.0637444864362733E-2</v>
      </c>
      <c r="AP11" s="227">
        <f t="shared" si="4"/>
        <v>6.865596422308351E-2</v>
      </c>
    </row>
    <row r="12" spans="1:48">
      <c r="A12" s="227" t="s">
        <v>17</v>
      </c>
      <c r="B12" s="228" t="str">
        <f>[5]IND!B12</f>
        <v>IS</v>
      </c>
      <c r="C12" s="228" t="str">
        <f>[5]IND!A12</f>
        <v>Iron &amp; Steel</v>
      </c>
      <c r="D12" s="227">
        <f>[5]IND!M12</f>
        <v>0</v>
      </c>
      <c r="F12" s="228" t="s">
        <v>299</v>
      </c>
      <c r="G12" s="227">
        <f>MATCH(B12,MCEcon!$A$44:$A$59,0)</f>
        <v>9</v>
      </c>
      <c r="H12" s="228"/>
      <c r="I12" s="228"/>
      <c r="J12" s="227">
        <f>INDEX(MCEcon!$C$44:$AG$59,$G12,J$9)</f>
        <v>9.3942736075330446E-3</v>
      </c>
      <c r="K12" s="227">
        <f>INDEX(MCEcon!$C$44:$AG$59,$G12,K$9)</f>
        <v>9.5543964067423322E-3</v>
      </c>
      <c r="L12" s="227">
        <f>INDEX(MCEcon!$C$44:$AG$59,$G12,L$9)</f>
        <v>9.7145192059516199E-3</v>
      </c>
      <c r="M12" s="227">
        <f>INDEX(MCEcon!$C$44:$AG$59,$G12,M$9)</f>
        <v>9.8746420051609076E-3</v>
      </c>
      <c r="N12" s="227">
        <f>INDEX(MCEcon!$C$44:$AG$59,$G12,N$9)</f>
        <v>9.8649439968021956E-3</v>
      </c>
      <c r="O12" s="227">
        <f>INDEX(MCEcon!$C$44:$AG$59,$G12,O$9)</f>
        <v>9.8552459884434836E-3</v>
      </c>
      <c r="P12" s="227">
        <f>INDEX(MCEcon!$C$44:$AG$59,$G12,P$9)</f>
        <v>9.8455479800847717E-3</v>
      </c>
      <c r="Q12" s="227">
        <f>INDEX(MCEcon!$C$44:$AG$59,$G12,Q$9)</f>
        <v>9.8358499717260597E-3</v>
      </c>
      <c r="R12" s="227">
        <f>INDEX(MCEcon!$C$44:$AG$59,$G12,R$9)</f>
        <v>9.8261519633673477E-3</v>
      </c>
      <c r="S12" s="227">
        <f>INDEX(MCEcon!$C$44:$AG$59,$G12,S$9)</f>
        <v>9.9711351271391854E-3</v>
      </c>
      <c r="T12" s="227">
        <f>INDEX(MCEcon!$C$44:$AG$59,$G12,T$9)</f>
        <v>1.0116118290911023E-2</v>
      </c>
      <c r="U12" s="227">
        <f>INDEX(MCEcon!$C$44:$AG$59,$G12,U$9)</f>
        <v>1.0261101454682861E-2</v>
      </c>
      <c r="V12" s="227">
        <f>INDEX(MCEcon!$C$44:$AG$59,$G12,V$9)</f>
        <v>1.0406084618454698E-2</v>
      </c>
      <c r="W12" s="227">
        <f>INDEX(MCEcon!$C$44:$AG$59,$G12,W$9)</f>
        <v>1.0551067782226538E-2</v>
      </c>
      <c r="X12" s="227">
        <f>INDEX(MCEcon!$C$44:$AG$59,$G12,X$9)</f>
        <v>1.0863041435245309E-2</v>
      </c>
      <c r="Y12" s="227">
        <f>INDEX(MCEcon!$C$44:$AG$59,$G12,Y$9)</f>
        <v>1.117501508826408E-2</v>
      </c>
      <c r="Z12" s="227">
        <f>INDEX(MCEcon!$C$44:$AG$59,$G12,Z$9)</f>
        <v>1.1486988741282851E-2</v>
      </c>
      <c r="AA12" s="227">
        <f>INDEX(MCEcon!$C$44:$AG$59,$G12,AA$9)</f>
        <v>1.1798962394301622E-2</v>
      </c>
      <c r="AB12" s="227">
        <f>INDEX(MCEcon!$C$44:$AG$59,$G12,AB$9)</f>
        <v>1.2110936047320397E-2</v>
      </c>
      <c r="AC12" s="227">
        <f>INDEX(MCEcon!$C$44:$AG$59,$G12,AC$9)</f>
        <v>1.2330215059638713E-2</v>
      </c>
      <c r="AD12" s="227">
        <f>INDEX(MCEcon!$C$44:$AG$59,$G12,AD$9)</f>
        <v>1.2549494071957028E-2</v>
      </c>
      <c r="AE12" s="227">
        <f>INDEX(MCEcon!$C$44:$AG$59,$G12,AE$9)</f>
        <v>1.2768773084275344E-2</v>
      </c>
      <c r="AF12" s="227">
        <f>INDEX(MCEcon!$C$44:$AG$59,$G12,AF$9)</f>
        <v>1.298805209659366E-2</v>
      </c>
      <c r="AG12" s="227">
        <f>INDEX(MCEcon!$C$44:$AG$59,$G12,AG$9)</f>
        <v>1.3207331108911972E-2</v>
      </c>
      <c r="AH12" s="227">
        <f>INDEX(MCEcon!$C$44:$AG$59,$G12,AH$9)</f>
        <v>1.3491886134314819E-2</v>
      </c>
      <c r="AI12" s="227">
        <f>INDEX(MCEcon!$C$44:$AG$59,$G12,AI$9)</f>
        <v>1.3776441159717667E-2</v>
      </c>
      <c r="AJ12" s="227">
        <f>INDEX(MCEcon!$C$44:$AG$59,$G12,AJ$9)</f>
        <v>1.4060996185120514E-2</v>
      </c>
      <c r="AK12" s="227">
        <f>INDEX(MCEcon!$C$44:$AG$59,$G12,AK$9)</f>
        <v>1.4345551210523361E-2</v>
      </c>
      <c r="AL12" s="227">
        <f>INDEX(MCEcon!$C$44:$AG$59,$G12,AL$9)</f>
        <v>1.4630106235926208E-2</v>
      </c>
      <c r="AM12" s="227">
        <f>INDEX(MCEcon!$C$44:$AG$59,$G12,AM$9)</f>
        <v>1.5720226002454405E-2</v>
      </c>
      <c r="AN12" s="227">
        <f>INDEX(MCEcon!$C$44:$AG$59,$G12,AN$9)</f>
        <v>1.6976780136067543E-2</v>
      </c>
      <c r="AO12" s="227">
        <f t="shared" si="4"/>
        <v>1.9295714975028078E-2</v>
      </c>
      <c r="AP12" s="227">
        <f t="shared" si="4"/>
        <v>2.1642388875169394E-2</v>
      </c>
    </row>
    <row r="13" spans="1:48">
      <c r="A13" s="227" t="s">
        <v>17</v>
      </c>
      <c r="B13" s="228" t="str">
        <f>[5]IND!B14</f>
        <v>CP</v>
      </c>
      <c r="C13" s="228" t="str">
        <f>[5]IND!A14</f>
        <v>Chemicals</v>
      </c>
      <c r="D13" s="227">
        <f>[5]IND!M14</f>
        <v>1</v>
      </c>
      <c r="F13" s="228"/>
      <c r="G13" s="227">
        <f>MATCH(B13,MCEcon!$A$44:$A$59,0)</f>
        <v>7</v>
      </c>
      <c r="H13" s="228"/>
      <c r="I13" s="228"/>
      <c r="J13" s="227">
        <f>INDEX(MCEcon!$C$44:$AG$59,$G13,J$9)</f>
        <v>1.989786536070515E-2</v>
      </c>
      <c r="K13" s="227">
        <f>INDEX(MCEcon!$C$44:$AG$59,$G13,K$9)</f>
        <v>2.0289913680205673E-2</v>
      </c>
      <c r="L13" s="227">
        <f>INDEX(MCEcon!$C$44:$AG$59,$G13,L$9)</f>
        <v>2.0681961999706195E-2</v>
      </c>
      <c r="M13" s="227">
        <f>INDEX(MCEcon!$C$44:$AG$59,$G13,M$9)</f>
        <v>2.1074010319206717E-2</v>
      </c>
      <c r="N13" s="227">
        <f>INDEX(MCEcon!$C$44:$AG$59,$G13,N$9)</f>
        <v>2.1152227914162686E-2</v>
      </c>
      <c r="O13" s="227">
        <f>INDEX(MCEcon!$C$44:$AG$59,$G13,O$9)</f>
        <v>2.1230445509118654E-2</v>
      </c>
      <c r="P13" s="227">
        <f>INDEX(MCEcon!$C$44:$AG$59,$G13,P$9)</f>
        <v>2.1308663104074622E-2</v>
      </c>
      <c r="Q13" s="227">
        <f>INDEX(MCEcon!$C$44:$AG$59,$G13,Q$9)</f>
        <v>2.1386880699030591E-2</v>
      </c>
      <c r="R13" s="227">
        <f>INDEX(MCEcon!$C$44:$AG$59,$G13,R$9)</f>
        <v>2.1465098293986566E-2</v>
      </c>
      <c r="S13" s="227">
        <f>INDEX(MCEcon!$C$44:$AG$59,$G13,S$9)</f>
        <v>2.1844223065188427E-2</v>
      </c>
      <c r="T13" s="227">
        <f>INDEX(MCEcon!$C$44:$AG$59,$G13,T$9)</f>
        <v>2.2223347836390288E-2</v>
      </c>
      <c r="U13" s="227">
        <f>INDEX(MCEcon!$C$44:$AG$59,$G13,U$9)</f>
        <v>2.2602472607592149E-2</v>
      </c>
      <c r="V13" s="227">
        <f>INDEX(MCEcon!$C$44:$AG$59,$G13,V$9)</f>
        <v>2.2981597378794009E-2</v>
      </c>
      <c r="W13" s="227">
        <f>INDEX(MCEcon!$C$44:$AG$59,$G13,W$9)</f>
        <v>2.3360722149995867E-2</v>
      </c>
      <c r="X13" s="227">
        <f>INDEX(MCEcon!$C$44:$AG$59,$G13,X$9)</f>
        <v>2.3934139251007285E-2</v>
      </c>
      <c r="Y13" s="227">
        <f>INDEX(MCEcon!$C$44:$AG$59,$G13,Y$9)</f>
        <v>2.4507556352018702E-2</v>
      </c>
      <c r="Z13" s="227">
        <f>INDEX(MCEcon!$C$44:$AG$59,$G13,Z$9)</f>
        <v>2.508097345303012E-2</v>
      </c>
      <c r="AA13" s="227">
        <f>INDEX(MCEcon!$C$44:$AG$59,$G13,AA$9)</f>
        <v>2.5654390554041537E-2</v>
      </c>
      <c r="AB13" s="227">
        <f>INDEX(MCEcon!$C$44:$AG$59,$G13,AB$9)</f>
        <v>2.6227807655052959E-2</v>
      </c>
      <c r="AC13" s="227">
        <f>INDEX(MCEcon!$C$44:$AG$59,$G13,AC$9)</f>
        <v>2.6877910935000519E-2</v>
      </c>
      <c r="AD13" s="227">
        <f>INDEX(MCEcon!$C$44:$AG$59,$G13,AD$9)</f>
        <v>2.752801421494808E-2</v>
      </c>
      <c r="AE13" s="227">
        <f>INDEX(MCEcon!$C$44:$AG$59,$G13,AE$9)</f>
        <v>2.8178117494895641E-2</v>
      </c>
      <c r="AF13" s="227">
        <f>INDEX(MCEcon!$C$44:$AG$59,$G13,AF$9)</f>
        <v>2.8828220774843202E-2</v>
      </c>
      <c r="AG13" s="227">
        <f>INDEX(MCEcon!$C$44:$AG$59,$G13,AG$9)</f>
        <v>2.9478324054790762E-2</v>
      </c>
      <c r="AH13" s="227">
        <f>INDEX(MCEcon!$C$44:$AG$59,$G13,AH$9)</f>
        <v>3.021313706878348E-2</v>
      </c>
      <c r="AI13" s="227">
        <f>INDEX(MCEcon!$C$44:$AG$59,$G13,AI$9)</f>
        <v>3.0947950082776197E-2</v>
      </c>
      <c r="AJ13" s="227">
        <f>INDEX(MCEcon!$C$44:$AG$59,$G13,AJ$9)</f>
        <v>3.1682763096768915E-2</v>
      </c>
      <c r="AK13" s="227">
        <f>INDEX(MCEcon!$C$44:$AG$59,$G13,AK$9)</f>
        <v>3.2417576110761633E-2</v>
      </c>
      <c r="AL13" s="227">
        <f>INDEX(MCEcon!$C$44:$AG$59,$G13,AL$9)</f>
        <v>3.3152389124754343E-2</v>
      </c>
      <c r="AM13" s="227">
        <f>INDEX(MCEcon!$C$44:$AG$59,$G13,AM$9)</f>
        <v>3.6624309652768819E-2</v>
      </c>
      <c r="AN13" s="227">
        <f>INDEX(MCEcon!$C$44:$AG$59,$G13,AN$9)</f>
        <v>4.0081265547416464E-2</v>
      </c>
      <c r="AO13" s="227">
        <f t="shared" si="4"/>
        <v>4.7012636075639769E-2</v>
      </c>
      <c r="AP13" s="227">
        <f t="shared" si="4"/>
        <v>5.3941512498301813E-2</v>
      </c>
    </row>
    <row r="14" spans="1:48">
      <c r="A14" s="227" t="s">
        <v>17</v>
      </c>
      <c r="B14" s="228" t="str">
        <f>[5]IND!B15</f>
        <v>NF</v>
      </c>
      <c r="C14" s="228" t="str">
        <f>[5]IND!A15</f>
        <v>Precious &amp; Non-Ferrous metals</v>
      </c>
      <c r="D14" s="227">
        <f>[5]IND!M15</f>
        <v>1</v>
      </c>
      <c r="F14" s="228"/>
      <c r="G14" s="227">
        <f>MATCH(B14,MCEcon!$A$44:$A$59,0)</f>
        <v>10</v>
      </c>
      <c r="H14" s="228"/>
      <c r="I14" s="228"/>
      <c r="J14" s="227">
        <f>INDEX(MCEcon!$C$44:$AG$59,$G14,J$9)</f>
        <v>3.9536166617103368E-3</v>
      </c>
      <c r="K14" s="227">
        <f>INDEX(MCEcon!$C$44:$AG$59,$G14,K$9)</f>
        <v>3.726724150551529E-3</v>
      </c>
      <c r="L14" s="227">
        <f>INDEX(MCEcon!$C$44:$AG$59,$G14,L$9)</f>
        <v>3.4998316393927212E-3</v>
      </c>
      <c r="M14" s="227">
        <f>INDEX(MCEcon!$C$44:$AG$59,$G14,M$9)</f>
        <v>3.272939128233913E-3</v>
      </c>
      <c r="N14" s="227">
        <f>INDEX(MCEcon!$C$44:$AG$59,$G14,N$9)</f>
        <v>3.2338771161803232E-3</v>
      </c>
      <c r="O14" s="227">
        <f>INDEX(MCEcon!$C$44:$AG$59,$G14,O$9)</f>
        <v>3.1948151041267334E-3</v>
      </c>
      <c r="P14" s="227">
        <f>INDEX(MCEcon!$C$44:$AG$59,$G14,P$9)</f>
        <v>3.1557530920731437E-3</v>
      </c>
      <c r="Q14" s="227">
        <f>INDEX(MCEcon!$C$44:$AG$59,$G14,Q$9)</f>
        <v>3.1166910800195539E-3</v>
      </c>
      <c r="R14" s="227">
        <f>INDEX(MCEcon!$C$44:$AG$59,$G14,R$9)</f>
        <v>3.0776290679659633E-3</v>
      </c>
      <c r="S14" s="227">
        <f>INDEX(MCEcon!$C$44:$AG$59,$G14,S$9)</f>
        <v>3.0532569674793552E-3</v>
      </c>
      <c r="T14" s="227">
        <f>INDEX(MCEcon!$C$44:$AG$59,$G14,T$9)</f>
        <v>3.028884866992747E-3</v>
      </c>
      <c r="U14" s="227">
        <f>INDEX(MCEcon!$C$44:$AG$59,$G14,U$9)</f>
        <v>3.0045127665061389E-3</v>
      </c>
      <c r="V14" s="227">
        <f>INDEX(MCEcon!$C$44:$AG$59,$G14,V$9)</f>
        <v>2.9801406660195308E-3</v>
      </c>
      <c r="W14" s="227">
        <f>INDEX(MCEcon!$C$44:$AG$59,$G14,W$9)</f>
        <v>2.9557685655329231E-3</v>
      </c>
      <c r="X14" s="227">
        <f>INDEX(MCEcon!$C$44:$AG$59,$G14,X$9)</f>
        <v>3.0918091752045727E-3</v>
      </c>
      <c r="Y14" s="227">
        <f>INDEX(MCEcon!$C$44:$AG$59,$G14,Y$9)</f>
        <v>3.2278497848762223E-3</v>
      </c>
      <c r="Z14" s="227">
        <f>INDEX(MCEcon!$C$44:$AG$59,$G14,Z$9)</f>
        <v>3.3638903945478718E-3</v>
      </c>
      <c r="AA14" s="227">
        <f>INDEX(MCEcon!$C$44:$AG$59,$G14,AA$9)</f>
        <v>3.4999310042195214E-3</v>
      </c>
      <c r="AB14" s="227">
        <f>INDEX(MCEcon!$C$44:$AG$59,$G14,AB$9)</f>
        <v>3.6359716138911714E-3</v>
      </c>
      <c r="AC14" s="227">
        <f>INDEX(MCEcon!$C$44:$AG$59,$G14,AC$9)</f>
        <v>3.7187473713401597E-3</v>
      </c>
      <c r="AD14" s="227">
        <f>INDEX(MCEcon!$C$44:$AG$59,$G14,AD$9)</f>
        <v>3.801523128789148E-3</v>
      </c>
      <c r="AE14" s="227">
        <f>INDEX(MCEcon!$C$44:$AG$59,$G14,AE$9)</f>
        <v>3.8842988862381363E-3</v>
      </c>
      <c r="AF14" s="227">
        <f>INDEX(MCEcon!$C$44:$AG$59,$G14,AF$9)</f>
        <v>3.9670746436871246E-3</v>
      </c>
      <c r="AG14" s="227">
        <f>INDEX(MCEcon!$C$44:$AG$59,$G14,AG$9)</f>
        <v>4.049850401136112E-3</v>
      </c>
      <c r="AH14" s="227">
        <f>INDEX(MCEcon!$C$44:$AG$59,$G14,AH$9)</f>
        <v>4.1475837548706467E-3</v>
      </c>
      <c r="AI14" s="227">
        <f>INDEX(MCEcon!$C$44:$AG$59,$G14,AI$9)</f>
        <v>4.2453171086051815E-3</v>
      </c>
      <c r="AJ14" s="227">
        <f>INDEX(MCEcon!$C$44:$AG$59,$G14,AJ$9)</f>
        <v>4.3430504623397162E-3</v>
      </c>
      <c r="AK14" s="227">
        <f>INDEX(MCEcon!$C$44:$AG$59,$G14,AK$9)</f>
        <v>4.4407838160742509E-3</v>
      </c>
      <c r="AL14" s="227">
        <f>INDEX(MCEcon!$C$44:$AG$59,$G14,AL$9)</f>
        <v>4.5385171698087848E-3</v>
      </c>
      <c r="AM14" s="227">
        <f>INDEX(MCEcon!$C$44:$AG$59,$G14,AM$9)</f>
        <v>4.6856982918221692E-3</v>
      </c>
      <c r="AN14" s="227">
        <f>INDEX(MCEcon!$C$44:$AG$59,$G14,AN$9)</f>
        <v>4.904578405206611E-3</v>
      </c>
      <c r="AO14" s="227">
        <f t="shared" si="4"/>
        <v>5.2586898087092632E-3</v>
      </c>
      <c r="AP14" s="227">
        <f t="shared" si="4"/>
        <v>5.6247510441070903E-3</v>
      </c>
    </row>
    <row r="15" spans="1:48">
      <c r="A15" s="227" t="s">
        <v>17</v>
      </c>
      <c r="B15" s="228" t="str">
        <f>[5]IND!B16</f>
        <v>NM</v>
      </c>
      <c r="C15" s="228" t="str">
        <f>[5]IND!A16</f>
        <v>N.M.M Products</v>
      </c>
      <c r="D15" s="227">
        <f>[5]IND!M16</f>
        <v>0</v>
      </c>
      <c r="F15" s="228" t="s">
        <v>300</v>
      </c>
      <c r="G15" s="227">
        <f>MATCH(B15,MCEcon!$A$44:$A$59,0)</f>
        <v>8</v>
      </c>
      <c r="H15" s="228"/>
      <c r="I15" s="228"/>
      <c r="J15" s="227">
        <f>INDEX(MCEcon!$C$44:$AG$59,$G15,J$9)</f>
        <v>3.7405964801274436E-3</v>
      </c>
      <c r="K15" s="227">
        <f>INDEX(MCEcon!$C$44:$AG$59,$G15,K$9)</f>
        <v>3.809003306154132E-3</v>
      </c>
      <c r="L15" s="227">
        <f>INDEX(MCEcon!$C$44:$AG$59,$G15,L$9)</f>
        <v>3.8774101321808205E-3</v>
      </c>
      <c r="M15" s="227">
        <f>INDEX(MCEcon!$C$44:$AG$59,$G15,M$9)</f>
        <v>3.9458169582075086E-3</v>
      </c>
      <c r="N15" s="227">
        <f>INDEX(MCEcon!$C$44:$AG$59,$G15,N$9)</f>
        <v>3.981238634573914E-3</v>
      </c>
      <c r="O15" s="227">
        <f>INDEX(MCEcon!$C$44:$AG$59,$G15,O$9)</f>
        <v>4.0166603109403195E-3</v>
      </c>
      <c r="P15" s="227">
        <f>INDEX(MCEcon!$C$44:$AG$59,$G15,P$9)</f>
        <v>4.052081987306725E-3</v>
      </c>
      <c r="Q15" s="227">
        <f>INDEX(MCEcon!$C$44:$AG$59,$G15,Q$9)</f>
        <v>4.0875036636731305E-3</v>
      </c>
      <c r="R15" s="227">
        <f>INDEX(MCEcon!$C$44:$AG$59,$G15,R$9)</f>
        <v>4.1229253400395368E-3</v>
      </c>
      <c r="S15" s="227">
        <f>INDEX(MCEcon!$C$44:$AG$59,$G15,S$9)</f>
        <v>4.2101525304990466E-3</v>
      </c>
      <c r="T15" s="227">
        <f>INDEX(MCEcon!$C$44:$AG$59,$G15,T$9)</f>
        <v>4.2973797209585564E-3</v>
      </c>
      <c r="U15" s="227">
        <f>INDEX(MCEcon!$C$44:$AG$59,$G15,U$9)</f>
        <v>4.3846069114180661E-3</v>
      </c>
      <c r="V15" s="227">
        <f>INDEX(MCEcon!$C$44:$AG$59,$G15,V$9)</f>
        <v>4.4718341018775759E-3</v>
      </c>
      <c r="W15" s="227">
        <f>INDEX(MCEcon!$C$44:$AG$59,$G15,W$9)</f>
        <v>4.5590612923370874E-3</v>
      </c>
      <c r="X15" s="227">
        <f>INDEX(MCEcon!$C$44:$AG$59,$G15,X$9)</f>
        <v>4.6752237884489572E-3</v>
      </c>
      <c r="Y15" s="227">
        <f>INDEX(MCEcon!$C$44:$AG$59,$G15,Y$9)</f>
        <v>4.7913862845608271E-3</v>
      </c>
      <c r="Z15" s="227">
        <f>INDEX(MCEcon!$C$44:$AG$59,$G15,Z$9)</f>
        <v>4.9075487806726969E-3</v>
      </c>
      <c r="AA15" s="227">
        <f>INDEX(MCEcon!$C$44:$AG$59,$G15,AA$9)</f>
        <v>5.0237112767845668E-3</v>
      </c>
      <c r="AB15" s="227">
        <f>INDEX(MCEcon!$C$44:$AG$59,$G15,AB$9)</f>
        <v>5.1398737728964384E-3</v>
      </c>
      <c r="AC15" s="227">
        <f>INDEX(MCEcon!$C$44:$AG$59,$G15,AC$9)</f>
        <v>5.2648569816381077E-3</v>
      </c>
      <c r="AD15" s="227">
        <f>INDEX(MCEcon!$C$44:$AG$59,$G15,AD$9)</f>
        <v>5.389840190379777E-3</v>
      </c>
      <c r="AE15" s="227">
        <f>INDEX(MCEcon!$C$44:$AG$59,$G15,AE$9)</f>
        <v>5.5148233991214463E-3</v>
      </c>
      <c r="AF15" s="227">
        <f>INDEX(MCEcon!$C$44:$AG$59,$G15,AF$9)</f>
        <v>5.6398066078631156E-3</v>
      </c>
      <c r="AG15" s="227">
        <f>INDEX(MCEcon!$C$44:$AG$59,$G15,AG$9)</f>
        <v>5.7647898166047857E-3</v>
      </c>
      <c r="AH15" s="227">
        <f>INDEX(MCEcon!$C$44:$AG$59,$G15,AH$9)</f>
        <v>5.9047338091959365E-3</v>
      </c>
      <c r="AI15" s="227">
        <f>INDEX(MCEcon!$C$44:$AG$59,$G15,AI$9)</f>
        <v>6.0446778017870873E-3</v>
      </c>
      <c r="AJ15" s="227">
        <f>INDEX(MCEcon!$C$44:$AG$59,$G15,AJ$9)</f>
        <v>6.1846217943782381E-3</v>
      </c>
      <c r="AK15" s="227">
        <f>INDEX(MCEcon!$C$44:$AG$59,$G15,AK$9)</f>
        <v>6.3245657869693888E-3</v>
      </c>
      <c r="AL15" s="227">
        <f>INDEX(MCEcon!$C$44:$AG$59,$G15,AL$9)</f>
        <v>6.4645097795605387E-3</v>
      </c>
      <c r="AM15" s="227">
        <f>INDEX(MCEcon!$C$44:$AG$59,$G15,AM$9)</f>
        <v>7.1881448337910176E-3</v>
      </c>
      <c r="AN15" s="227">
        <f>INDEX(MCEcon!$C$44:$AG$59,$G15,AN$9)</f>
        <v>7.9449803656438944E-3</v>
      </c>
      <c r="AO15" s="227">
        <f t="shared" si="4"/>
        <v>9.419917538790179E-3</v>
      </c>
      <c r="AP15" s="227">
        <f t="shared" si="4"/>
        <v>1.0900388124873539E-2</v>
      </c>
    </row>
    <row r="16" spans="1:48">
      <c r="A16" s="227" t="s">
        <v>17</v>
      </c>
      <c r="B16" s="228" t="str">
        <f t="shared" ref="B16:D18" si="5">B15</f>
        <v>NM</v>
      </c>
      <c r="C16" s="228" t="str">
        <f t="shared" si="5"/>
        <v>N.M.M Products</v>
      </c>
      <c r="D16" s="227">
        <f t="shared" si="5"/>
        <v>0</v>
      </c>
      <c r="F16" s="228" t="s">
        <v>306</v>
      </c>
      <c r="G16" s="227">
        <f>MATCH(B16,MCEcon!$A$44:$A$59,0)</f>
        <v>8</v>
      </c>
      <c r="H16" s="228"/>
      <c r="I16" s="228"/>
      <c r="J16" s="227">
        <f>INDEX(MCEcon!$C$44:$AG$59,$G16,J$9)</f>
        <v>3.7405964801274436E-3</v>
      </c>
      <c r="K16" s="227">
        <f>INDEX(MCEcon!$C$44:$AG$59,$G16,K$9)</f>
        <v>3.809003306154132E-3</v>
      </c>
      <c r="L16" s="227">
        <f>INDEX(MCEcon!$C$44:$AG$59,$G16,L$9)</f>
        <v>3.8774101321808205E-3</v>
      </c>
      <c r="M16" s="227">
        <f>INDEX(MCEcon!$C$44:$AG$59,$G16,M$9)</f>
        <v>3.9458169582075086E-3</v>
      </c>
      <c r="N16" s="227">
        <f>INDEX(MCEcon!$C$44:$AG$59,$G16,N$9)</f>
        <v>3.981238634573914E-3</v>
      </c>
      <c r="O16" s="227">
        <f>INDEX(MCEcon!$C$44:$AG$59,$G16,O$9)</f>
        <v>4.0166603109403195E-3</v>
      </c>
      <c r="P16" s="227">
        <f>INDEX(MCEcon!$C$44:$AG$59,$G16,P$9)</f>
        <v>4.052081987306725E-3</v>
      </c>
      <c r="Q16" s="227">
        <f>INDEX(MCEcon!$C$44:$AG$59,$G16,Q$9)</f>
        <v>4.0875036636731305E-3</v>
      </c>
      <c r="R16" s="227">
        <f>INDEX(MCEcon!$C$44:$AG$59,$G16,R$9)</f>
        <v>4.1229253400395368E-3</v>
      </c>
      <c r="S16" s="227">
        <f>INDEX(MCEcon!$C$44:$AG$59,$G16,S$9)</f>
        <v>4.2101525304990466E-3</v>
      </c>
      <c r="T16" s="227">
        <f>INDEX(MCEcon!$C$44:$AG$59,$G16,T$9)</f>
        <v>4.2973797209585564E-3</v>
      </c>
      <c r="U16" s="227">
        <f>INDEX(MCEcon!$C$44:$AG$59,$G16,U$9)</f>
        <v>4.3846069114180661E-3</v>
      </c>
      <c r="V16" s="227">
        <f>INDEX(MCEcon!$C$44:$AG$59,$G16,V$9)</f>
        <v>4.4718341018775759E-3</v>
      </c>
      <c r="W16" s="227">
        <f>INDEX(MCEcon!$C$44:$AG$59,$G16,W$9)</f>
        <v>4.5590612923370874E-3</v>
      </c>
      <c r="X16" s="227">
        <f>INDEX(MCEcon!$C$44:$AG$59,$G16,X$9)</f>
        <v>4.6752237884489572E-3</v>
      </c>
      <c r="Y16" s="227">
        <f>INDEX(MCEcon!$C$44:$AG$59,$G16,Y$9)</f>
        <v>4.7913862845608271E-3</v>
      </c>
      <c r="Z16" s="227">
        <f>INDEX(MCEcon!$C$44:$AG$59,$G16,Z$9)</f>
        <v>4.9075487806726969E-3</v>
      </c>
      <c r="AA16" s="227">
        <f>INDEX(MCEcon!$C$44:$AG$59,$G16,AA$9)</f>
        <v>5.0237112767845668E-3</v>
      </c>
      <c r="AB16" s="227">
        <f>INDEX(MCEcon!$C$44:$AG$59,$G16,AB$9)</f>
        <v>5.1398737728964384E-3</v>
      </c>
      <c r="AC16" s="227">
        <f>INDEX(MCEcon!$C$44:$AG$59,$G16,AC$9)</f>
        <v>5.2648569816381077E-3</v>
      </c>
      <c r="AD16" s="227">
        <f>INDEX(MCEcon!$C$44:$AG$59,$G16,AD$9)</f>
        <v>5.389840190379777E-3</v>
      </c>
      <c r="AE16" s="227">
        <f>INDEX(MCEcon!$C$44:$AG$59,$G16,AE$9)</f>
        <v>5.5148233991214463E-3</v>
      </c>
      <c r="AF16" s="227">
        <f>INDEX(MCEcon!$C$44:$AG$59,$G16,AF$9)</f>
        <v>5.6398066078631156E-3</v>
      </c>
      <c r="AG16" s="227">
        <f>INDEX(MCEcon!$C$44:$AG$59,$G16,AG$9)</f>
        <v>5.7647898166047857E-3</v>
      </c>
      <c r="AH16" s="227">
        <f>INDEX(MCEcon!$C$44:$AG$59,$G16,AH$9)</f>
        <v>5.9047338091959365E-3</v>
      </c>
      <c r="AI16" s="227">
        <f>INDEX(MCEcon!$C$44:$AG$59,$G16,AI$9)</f>
        <v>6.0446778017870873E-3</v>
      </c>
      <c r="AJ16" s="227">
        <f>INDEX(MCEcon!$C$44:$AG$59,$G16,AJ$9)</f>
        <v>6.1846217943782381E-3</v>
      </c>
      <c r="AK16" s="227">
        <f>INDEX(MCEcon!$C$44:$AG$59,$G16,AK$9)</f>
        <v>6.3245657869693888E-3</v>
      </c>
      <c r="AL16" s="227">
        <f>INDEX(MCEcon!$C$44:$AG$59,$G16,AL$9)</f>
        <v>6.4645097795605387E-3</v>
      </c>
      <c r="AM16" s="227">
        <f>INDEX(MCEcon!$C$44:$AG$59,$G16,AM$9)</f>
        <v>7.1881448337910176E-3</v>
      </c>
      <c r="AN16" s="227">
        <f>INDEX(MCEcon!$C$44:$AG$59,$G16,AN$9)</f>
        <v>7.9449803656438944E-3</v>
      </c>
      <c r="AO16" s="227">
        <f t="shared" si="4"/>
        <v>9.419917538790179E-3</v>
      </c>
      <c r="AP16" s="227">
        <f t="shared" si="4"/>
        <v>1.0900388124873539E-2</v>
      </c>
    </row>
    <row r="17" spans="1:42">
      <c r="A17" s="227" t="s">
        <v>17</v>
      </c>
      <c r="B17" s="228" t="str">
        <f t="shared" si="5"/>
        <v>NM</v>
      </c>
      <c r="C17" s="228" t="str">
        <f t="shared" si="5"/>
        <v>N.M.M Products</v>
      </c>
      <c r="D17" s="227">
        <f t="shared" si="5"/>
        <v>0</v>
      </c>
      <c r="F17" s="228" t="s">
        <v>307</v>
      </c>
      <c r="G17" s="227">
        <f>MATCH(B17,MCEcon!$A$44:$A$59,0)</f>
        <v>8</v>
      </c>
      <c r="H17" s="228"/>
      <c r="I17" s="228"/>
      <c r="J17" s="227">
        <f>INDEX(MCEcon!$C$44:$AG$59,$G17,J$9)</f>
        <v>3.7405964801274436E-3</v>
      </c>
      <c r="K17" s="227">
        <f>INDEX(MCEcon!$C$44:$AG$59,$G17,K$9)</f>
        <v>3.809003306154132E-3</v>
      </c>
      <c r="L17" s="227">
        <f>INDEX(MCEcon!$C$44:$AG$59,$G17,L$9)</f>
        <v>3.8774101321808205E-3</v>
      </c>
      <c r="M17" s="227">
        <f>INDEX(MCEcon!$C$44:$AG$59,$G17,M$9)</f>
        <v>3.9458169582075086E-3</v>
      </c>
      <c r="N17" s="227">
        <f>INDEX(MCEcon!$C$44:$AG$59,$G17,N$9)</f>
        <v>3.981238634573914E-3</v>
      </c>
      <c r="O17" s="227">
        <f>INDEX(MCEcon!$C$44:$AG$59,$G17,O$9)</f>
        <v>4.0166603109403195E-3</v>
      </c>
      <c r="P17" s="227">
        <f>INDEX(MCEcon!$C$44:$AG$59,$G17,P$9)</f>
        <v>4.052081987306725E-3</v>
      </c>
      <c r="Q17" s="227">
        <f>INDEX(MCEcon!$C$44:$AG$59,$G17,Q$9)</f>
        <v>4.0875036636731305E-3</v>
      </c>
      <c r="R17" s="227">
        <f>INDEX(MCEcon!$C$44:$AG$59,$G17,R$9)</f>
        <v>4.1229253400395368E-3</v>
      </c>
      <c r="S17" s="227">
        <f>INDEX(MCEcon!$C$44:$AG$59,$G17,S$9)</f>
        <v>4.2101525304990466E-3</v>
      </c>
      <c r="T17" s="227">
        <f>INDEX(MCEcon!$C$44:$AG$59,$G17,T$9)</f>
        <v>4.2973797209585564E-3</v>
      </c>
      <c r="U17" s="227">
        <f>INDEX(MCEcon!$C$44:$AG$59,$G17,U$9)</f>
        <v>4.3846069114180661E-3</v>
      </c>
      <c r="V17" s="227">
        <f>INDEX(MCEcon!$C$44:$AG$59,$G17,V$9)</f>
        <v>4.4718341018775759E-3</v>
      </c>
      <c r="W17" s="227">
        <f>INDEX(MCEcon!$C$44:$AG$59,$G17,W$9)</f>
        <v>4.5590612923370874E-3</v>
      </c>
      <c r="X17" s="227">
        <f>INDEX(MCEcon!$C$44:$AG$59,$G17,X$9)</f>
        <v>4.6752237884489572E-3</v>
      </c>
      <c r="Y17" s="227">
        <f>INDEX(MCEcon!$C$44:$AG$59,$G17,Y$9)</f>
        <v>4.7913862845608271E-3</v>
      </c>
      <c r="Z17" s="227">
        <f>INDEX(MCEcon!$C$44:$AG$59,$G17,Z$9)</f>
        <v>4.9075487806726969E-3</v>
      </c>
      <c r="AA17" s="227">
        <f>INDEX(MCEcon!$C$44:$AG$59,$G17,AA$9)</f>
        <v>5.0237112767845668E-3</v>
      </c>
      <c r="AB17" s="227">
        <f>INDEX(MCEcon!$C$44:$AG$59,$G17,AB$9)</f>
        <v>5.1398737728964384E-3</v>
      </c>
      <c r="AC17" s="227">
        <f>INDEX(MCEcon!$C$44:$AG$59,$G17,AC$9)</f>
        <v>5.2648569816381077E-3</v>
      </c>
      <c r="AD17" s="227">
        <f>INDEX(MCEcon!$C$44:$AG$59,$G17,AD$9)</f>
        <v>5.389840190379777E-3</v>
      </c>
      <c r="AE17" s="227">
        <f>INDEX(MCEcon!$C$44:$AG$59,$G17,AE$9)</f>
        <v>5.5148233991214463E-3</v>
      </c>
      <c r="AF17" s="227">
        <f>INDEX(MCEcon!$C$44:$AG$59,$G17,AF$9)</f>
        <v>5.6398066078631156E-3</v>
      </c>
      <c r="AG17" s="227">
        <f>INDEX(MCEcon!$C$44:$AG$59,$G17,AG$9)</f>
        <v>5.7647898166047857E-3</v>
      </c>
      <c r="AH17" s="227">
        <f>INDEX(MCEcon!$C$44:$AG$59,$G17,AH$9)</f>
        <v>5.9047338091959365E-3</v>
      </c>
      <c r="AI17" s="227">
        <f>INDEX(MCEcon!$C$44:$AG$59,$G17,AI$9)</f>
        <v>6.0446778017870873E-3</v>
      </c>
      <c r="AJ17" s="227">
        <f>INDEX(MCEcon!$C$44:$AG$59,$G17,AJ$9)</f>
        <v>6.1846217943782381E-3</v>
      </c>
      <c r="AK17" s="227">
        <f>INDEX(MCEcon!$C$44:$AG$59,$G17,AK$9)</f>
        <v>6.3245657869693888E-3</v>
      </c>
      <c r="AL17" s="227">
        <f>INDEX(MCEcon!$C$44:$AG$59,$G17,AL$9)</f>
        <v>6.4645097795605387E-3</v>
      </c>
      <c r="AM17" s="227">
        <f>INDEX(MCEcon!$C$44:$AG$59,$G17,AM$9)</f>
        <v>7.1881448337910176E-3</v>
      </c>
      <c r="AN17" s="227">
        <f>INDEX(MCEcon!$C$44:$AG$59,$G17,AN$9)</f>
        <v>7.9449803656438944E-3</v>
      </c>
      <c r="AO17" s="227">
        <f t="shared" si="4"/>
        <v>9.419917538790179E-3</v>
      </c>
      <c r="AP17" s="227">
        <f t="shared" si="4"/>
        <v>1.0900388124873539E-2</v>
      </c>
    </row>
    <row r="18" spans="1:42">
      <c r="A18" s="227" t="s">
        <v>17</v>
      </c>
      <c r="B18" s="228" t="str">
        <f t="shared" si="5"/>
        <v>NM</v>
      </c>
      <c r="C18" s="228" t="str">
        <f t="shared" si="5"/>
        <v>N.M.M Products</v>
      </c>
      <c r="D18" s="227">
        <f t="shared" si="5"/>
        <v>0</v>
      </c>
      <c r="F18" s="228" t="s">
        <v>308</v>
      </c>
      <c r="G18" s="227">
        <f>MATCH(B18,MCEcon!$A$44:$A$59,0)</f>
        <v>8</v>
      </c>
      <c r="H18" s="228"/>
      <c r="I18" s="228"/>
      <c r="J18" s="227">
        <f>INDEX(MCEcon!$C$44:$AG$59,$G18,J$9)</f>
        <v>3.7405964801274436E-3</v>
      </c>
      <c r="K18" s="227">
        <f>INDEX(MCEcon!$C$44:$AG$59,$G18,K$9)</f>
        <v>3.809003306154132E-3</v>
      </c>
      <c r="L18" s="227">
        <f>INDEX(MCEcon!$C$44:$AG$59,$G18,L$9)</f>
        <v>3.8774101321808205E-3</v>
      </c>
      <c r="M18" s="227">
        <f>INDEX(MCEcon!$C$44:$AG$59,$G18,M$9)</f>
        <v>3.9458169582075086E-3</v>
      </c>
      <c r="N18" s="227">
        <f>INDEX(MCEcon!$C$44:$AG$59,$G18,N$9)</f>
        <v>3.981238634573914E-3</v>
      </c>
      <c r="O18" s="227">
        <f>INDEX(MCEcon!$C$44:$AG$59,$G18,O$9)</f>
        <v>4.0166603109403195E-3</v>
      </c>
      <c r="P18" s="227">
        <f>INDEX(MCEcon!$C$44:$AG$59,$G18,P$9)</f>
        <v>4.052081987306725E-3</v>
      </c>
      <c r="Q18" s="227">
        <f>INDEX(MCEcon!$C$44:$AG$59,$G18,Q$9)</f>
        <v>4.0875036636731305E-3</v>
      </c>
      <c r="R18" s="227">
        <f>INDEX(MCEcon!$C$44:$AG$59,$G18,R$9)</f>
        <v>4.1229253400395368E-3</v>
      </c>
      <c r="S18" s="227">
        <f>INDEX(MCEcon!$C$44:$AG$59,$G18,S$9)</f>
        <v>4.2101525304990466E-3</v>
      </c>
      <c r="T18" s="227">
        <f>INDEX(MCEcon!$C$44:$AG$59,$G18,T$9)</f>
        <v>4.2973797209585564E-3</v>
      </c>
      <c r="U18" s="227">
        <f>INDEX(MCEcon!$C$44:$AG$59,$G18,U$9)</f>
        <v>4.3846069114180661E-3</v>
      </c>
      <c r="V18" s="227">
        <f>INDEX(MCEcon!$C$44:$AG$59,$G18,V$9)</f>
        <v>4.4718341018775759E-3</v>
      </c>
      <c r="W18" s="227">
        <f>INDEX(MCEcon!$C$44:$AG$59,$G18,W$9)</f>
        <v>4.5590612923370874E-3</v>
      </c>
      <c r="X18" s="227">
        <f>INDEX(MCEcon!$C$44:$AG$59,$G18,X$9)</f>
        <v>4.6752237884489572E-3</v>
      </c>
      <c r="Y18" s="227">
        <f>INDEX(MCEcon!$C$44:$AG$59,$G18,Y$9)</f>
        <v>4.7913862845608271E-3</v>
      </c>
      <c r="Z18" s="227">
        <f>INDEX(MCEcon!$C$44:$AG$59,$G18,Z$9)</f>
        <v>4.9075487806726969E-3</v>
      </c>
      <c r="AA18" s="227">
        <f>INDEX(MCEcon!$C$44:$AG$59,$G18,AA$9)</f>
        <v>5.0237112767845668E-3</v>
      </c>
      <c r="AB18" s="227">
        <f>INDEX(MCEcon!$C$44:$AG$59,$G18,AB$9)</f>
        <v>5.1398737728964384E-3</v>
      </c>
      <c r="AC18" s="227">
        <f>INDEX(MCEcon!$C$44:$AG$59,$G18,AC$9)</f>
        <v>5.2648569816381077E-3</v>
      </c>
      <c r="AD18" s="227">
        <f>INDEX(MCEcon!$C$44:$AG$59,$G18,AD$9)</f>
        <v>5.389840190379777E-3</v>
      </c>
      <c r="AE18" s="227">
        <f>INDEX(MCEcon!$C$44:$AG$59,$G18,AE$9)</f>
        <v>5.5148233991214463E-3</v>
      </c>
      <c r="AF18" s="227">
        <f>INDEX(MCEcon!$C$44:$AG$59,$G18,AF$9)</f>
        <v>5.6398066078631156E-3</v>
      </c>
      <c r="AG18" s="227">
        <f>INDEX(MCEcon!$C$44:$AG$59,$G18,AG$9)</f>
        <v>5.7647898166047857E-3</v>
      </c>
      <c r="AH18" s="227">
        <f>INDEX(MCEcon!$C$44:$AG$59,$G18,AH$9)</f>
        <v>5.9047338091959365E-3</v>
      </c>
      <c r="AI18" s="227">
        <f>INDEX(MCEcon!$C$44:$AG$59,$G18,AI$9)</f>
        <v>6.0446778017870873E-3</v>
      </c>
      <c r="AJ18" s="227">
        <f>INDEX(MCEcon!$C$44:$AG$59,$G18,AJ$9)</f>
        <v>6.1846217943782381E-3</v>
      </c>
      <c r="AK18" s="227">
        <f>INDEX(MCEcon!$C$44:$AG$59,$G18,AK$9)</f>
        <v>6.3245657869693888E-3</v>
      </c>
      <c r="AL18" s="227">
        <f>INDEX(MCEcon!$C$44:$AG$59,$G18,AL$9)</f>
        <v>6.4645097795605387E-3</v>
      </c>
      <c r="AM18" s="227">
        <f>INDEX(MCEcon!$C$44:$AG$59,$G18,AM$9)</f>
        <v>7.1881448337910176E-3</v>
      </c>
      <c r="AN18" s="227">
        <f>INDEX(MCEcon!$C$44:$AG$59,$G18,AN$9)</f>
        <v>7.9449803656438944E-3</v>
      </c>
      <c r="AO18" s="227">
        <f t="shared" si="4"/>
        <v>9.419917538790179E-3</v>
      </c>
      <c r="AP18" s="227">
        <f t="shared" si="4"/>
        <v>1.0900388124873539E-2</v>
      </c>
    </row>
    <row r="19" spans="1:42">
      <c r="A19" s="227" t="s">
        <v>17</v>
      </c>
      <c r="B19" s="228" t="str">
        <f>[5]IND!B17</f>
        <v>FB</v>
      </c>
      <c r="C19" s="228" t="str">
        <f>[5]IND!A17</f>
        <v>Food, Beverage &amp; Tabacco</v>
      </c>
      <c r="D19" s="227">
        <f>[5]IND!M17</f>
        <v>1</v>
      </c>
      <c r="F19" s="228"/>
      <c r="G19" s="227">
        <f>MATCH(B19,MCEcon!$A$44:$A$59,0)</f>
        <v>4</v>
      </c>
      <c r="H19" s="228"/>
      <c r="I19" s="228"/>
      <c r="J19" s="227">
        <f>INDEX(MCEcon!$C$44:$AG$59,$G19,J$9)</f>
        <v>2.3649162688522865E-2</v>
      </c>
      <c r="K19" s="227">
        <f>INDEX(MCEcon!$C$44:$AG$59,$G19,K$9)</f>
        <v>2.4286792374552422E-2</v>
      </c>
      <c r="L19" s="227">
        <f>INDEX(MCEcon!$C$44:$AG$59,$G19,L$9)</f>
        <v>2.4924422060581979E-2</v>
      </c>
      <c r="M19" s="227">
        <f>INDEX(MCEcon!$C$44:$AG$59,$G19,M$9)</f>
        <v>2.5562051746611535E-2</v>
      </c>
      <c r="N19" s="227">
        <f>INDEX(MCEcon!$C$44:$AG$59,$G19,N$9)</f>
        <v>2.5865556025002713E-2</v>
      </c>
      <c r="O19" s="227">
        <f>INDEX(MCEcon!$C$44:$AG$59,$G19,O$9)</f>
        <v>2.6169060303393891E-2</v>
      </c>
      <c r="P19" s="227">
        <f>INDEX(MCEcon!$C$44:$AG$59,$G19,P$9)</f>
        <v>2.6472564581785069E-2</v>
      </c>
      <c r="Q19" s="227">
        <f>INDEX(MCEcon!$C$44:$AG$59,$G19,Q$9)</f>
        <v>2.6776068860176246E-2</v>
      </c>
      <c r="R19" s="227">
        <f>INDEX(MCEcon!$C$44:$AG$59,$G19,R$9)</f>
        <v>2.7079573138567424E-2</v>
      </c>
      <c r="S19" s="227">
        <f>INDEX(MCEcon!$C$44:$AG$59,$G19,S$9)</f>
        <v>2.7571720583402348E-2</v>
      </c>
      <c r="T19" s="227">
        <f>INDEX(MCEcon!$C$44:$AG$59,$G19,T$9)</f>
        <v>2.8063868028237272E-2</v>
      </c>
      <c r="U19" s="227">
        <f>INDEX(MCEcon!$C$44:$AG$59,$G19,U$9)</f>
        <v>2.8556015473072197E-2</v>
      </c>
      <c r="V19" s="227">
        <f>INDEX(MCEcon!$C$44:$AG$59,$G19,V$9)</f>
        <v>2.9048162917907121E-2</v>
      </c>
      <c r="W19" s="227">
        <f>INDEX(MCEcon!$C$44:$AG$59,$G19,W$9)</f>
        <v>2.9540310362742038E-2</v>
      </c>
      <c r="X19" s="227">
        <f>INDEX(MCEcon!$C$44:$AG$59,$G19,X$9)</f>
        <v>3.0214986429456824E-2</v>
      </c>
      <c r="Y19" s="227">
        <f>INDEX(MCEcon!$C$44:$AG$59,$G19,Y$9)</f>
        <v>3.0889662496171609E-2</v>
      </c>
      <c r="Z19" s="227">
        <f>INDEX(MCEcon!$C$44:$AG$59,$G19,Z$9)</f>
        <v>3.1564338562886395E-2</v>
      </c>
      <c r="AA19" s="227">
        <f>INDEX(MCEcon!$C$44:$AG$59,$G19,AA$9)</f>
        <v>3.223901462960118E-2</v>
      </c>
      <c r="AB19" s="227">
        <f>INDEX(MCEcon!$C$44:$AG$59,$G19,AB$9)</f>
        <v>3.2913690696315959E-2</v>
      </c>
      <c r="AC19" s="227">
        <f>INDEX(MCEcon!$C$44:$AG$59,$G19,AC$9)</f>
        <v>3.3491306975615892E-2</v>
      </c>
      <c r="AD19" s="227">
        <f>INDEX(MCEcon!$C$44:$AG$59,$G19,AD$9)</f>
        <v>3.4068923254915826E-2</v>
      </c>
      <c r="AE19" s="227">
        <f>INDEX(MCEcon!$C$44:$AG$59,$G19,AE$9)</f>
        <v>3.4646539534215759E-2</v>
      </c>
      <c r="AF19" s="227">
        <f>INDEX(MCEcon!$C$44:$AG$59,$G19,AF$9)</f>
        <v>3.5224155813515692E-2</v>
      </c>
      <c r="AG19" s="227">
        <f>INDEX(MCEcon!$C$44:$AG$59,$G19,AG$9)</f>
        <v>3.5801772092815626E-2</v>
      </c>
      <c r="AH19" s="227">
        <f>INDEX(MCEcon!$C$44:$AG$59,$G19,AH$9)</f>
        <v>3.6473231371891734E-2</v>
      </c>
      <c r="AI19" s="227">
        <f>INDEX(MCEcon!$C$44:$AG$59,$G19,AI$9)</f>
        <v>3.7144690650967843E-2</v>
      </c>
      <c r="AJ19" s="227">
        <f>INDEX(MCEcon!$C$44:$AG$59,$G19,AJ$9)</f>
        <v>3.7816149930043952E-2</v>
      </c>
      <c r="AK19" s="227">
        <f>INDEX(MCEcon!$C$44:$AG$59,$G19,AK$9)</f>
        <v>3.8487609209120061E-2</v>
      </c>
      <c r="AL19" s="227">
        <f>INDEX(MCEcon!$C$44:$AG$59,$G19,AL$9)</f>
        <v>3.9159068488196169E-2</v>
      </c>
      <c r="AM19" s="227">
        <f>INDEX(MCEcon!$C$44:$AG$59,$G19,AM$9)</f>
        <v>4.2085583839286761E-2</v>
      </c>
      <c r="AN19" s="227">
        <f>INDEX(MCEcon!$C$44:$AG$59,$G19,AN$9)</f>
        <v>4.520492772261063E-2</v>
      </c>
      <c r="AO19" s="227">
        <f t="shared" si="4"/>
        <v>5.1218648868319505E-2</v>
      </c>
      <c r="AP19" s="227">
        <f t="shared" si="4"/>
        <v>5.7264508102734091E-2</v>
      </c>
    </row>
    <row r="20" spans="1:42">
      <c r="A20" s="227" t="s">
        <v>17</v>
      </c>
      <c r="B20" s="228" t="str">
        <f>[5]IND!B18</f>
        <v>PP</v>
      </c>
      <c r="C20" s="228" t="str">
        <f>[5]IND!A18</f>
        <v>Pulp &amp; Paper Products</v>
      </c>
      <c r="D20" s="227">
        <f>[5]IND!M18</f>
        <v>0</v>
      </c>
      <c r="F20" s="228" t="s">
        <v>309</v>
      </c>
      <c r="G20" s="227">
        <f>MATCH(B20,MCEcon!$A$44:$A$59,0)</f>
        <v>6</v>
      </c>
      <c r="H20" s="228"/>
      <c r="I20" s="228"/>
      <c r="J20" s="227">
        <f>INDEX(MCEcon!$C$44:$AG$59,$G20,J$9)</f>
        <v>5.0815214594333641E-3</v>
      </c>
      <c r="K20" s="227">
        <f>INDEX(MCEcon!$C$44:$AG$59,$G20,K$9)</f>
        <v>5.2017821640521775E-3</v>
      </c>
      <c r="L20" s="227">
        <f>INDEX(MCEcon!$C$44:$AG$59,$G20,L$9)</f>
        <v>5.322042868670991E-3</v>
      </c>
      <c r="M20" s="227">
        <f>INDEX(MCEcon!$C$44:$AG$59,$G20,M$9)</f>
        <v>5.4423035732898044E-3</v>
      </c>
      <c r="N20" s="227">
        <f>INDEX(MCEcon!$C$44:$AG$59,$G20,N$9)</f>
        <v>5.5011338202642854E-3</v>
      </c>
      <c r="O20" s="227">
        <f>INDEX(MCEcon!$C$44:$AG$59,$G20,O$9)</f>
        <v>5.5599640672387663E-3</v>
      </c>
      <c r="P20" s="227">
        <f>INDEX(MCEcon!$C$44:$AG$59,$G20,P$9)</f>
        <v>5.6187943142132473E-3</v>
      </c>
      <c r="Q20" s="227">
        <f>INDEX(MCEcon!$C$44:$AG$59,$G20,Q$9)</f>
        <v>5.6776245611877283E-3</v>
      </c>
      <c r="R20" s="227">
        <f>INDEX(MCEcon!$C$44:$AG$59,$G20,R$9)</f>
        <v>5.7364548081622075E-3</v>
      </c>
      <c r="S20" s="227">
        <f>INDEX(MCEcon!$C$44:$AG$59,$G20,S$9)</f>
        <v>5.8578156188434103E-3</v>
      </c>
      <c r="T20" s="227">
        <f>INDEX(MCEcon!$C$44:$AG$59,$G20,T$9)</f>
        <v>5.979176429524613E-3</v>
      </c>
      <c r="U20" s="227">
        <f>INDEX(MCEcon!$C$44:$AG$59,$G20,U$9)</f>
        <v>6.1005372402058158E-3</v>
      </c>
      <c r="V20" s="227">
        <f>INDEX(MCEcon!$C$44:$AG$59,$G20,V$9)</f>
        <v>6.2218980508870186E-3</v>
      </c>
      <c r="W20" s="227">
        <f>INDEX(MCEcon!$C$44:$AG$59,$G20,W$9)</f>
        <v>6.3432588615682196E-3</v>
      </c>
      <c r="X20" s="227">
        <f>INDEX(MCEcon!$C$44:$AG$59,$G20,X$9)</f>
        <v>6.4981040657256534E-3</v>
      </c>
      <c r="Y20" s="227">
        <f>INDEX(MCEcon!$C$44:$AG$59,$G20,Y$9)</f>
        <v>6.6529492698830872E-3</v>
      </c>
      <c r="Z20" s="227">
        <f>INDEX(MCEcon!$C$44:$AG$59,$G20,Z$9)</f>
        <v>6.8077944740405211E-3</v>
      </c>
      <c r="AA20" s="227">
        <f>INDEX(MCEcon!$C$44:$AG$59,$G20,AA$9)</f>
        <v>6.9626396781979549E-3</v>
      </c>
      <c r="AB20" s="227">
        <f>INDEX(MCEcon!$C$44:$AG$59,$G20,AB$9)</f>
        <v>7.1174848823553887E-3</v>
      </c>
      <c r="AC20" s="227">
        <f>INDEX(MCEcon!$C$44:$AG$59,$G20,AC$9)</f>
        <v>7.2629391302141142E-3</v>
      </c>
      <c r="AD20" s="227">
        <f>INDEX(MCEcon!$C$44:$AG$59,$G20,AD$9)</f>
        <v>7.4083933780728396E-3</v>
      </c>
      <c r="AE20" s="227">
        <f>INDEX(MCEcon!$C$44:$AG$59,$G20,AE$9)</f>
        <v>7.5538476259315651E-3</v>
      </c>
      <c r="AF20" s="227">
        <f>INDEX(MCEcon!$C$44:$AG$59,$G20,AF$9)</f>
        <v>7.6993018737902905E-3</v>
      </c>
      <c r="AG20" s="227">
        <f>INDEX(MCEcon!$C$44:$AG$59,$G20,AG$9)</f>
        <v>7.8447561216490151E-3</v>
      </c>
      <c r="AH20" s="227">
        <f>INDEX(MCEcon!$C$44:$AG$59,$G20,AH$9)</f>
        <v>8.0220801250482782E-3</v>
      </c>
      <c r="AI20" s="227">
        <f>INDEX(MCEcon!$C$44:$AG$59,$G20,AI$9)</f>
        <v>8.1994041284475412E-3</v>
      </c>
      <c r="AJ20" s="227">
        <f>INDEX(MCEcon!$C$44:$AG$59,$G20,AJ$9)</f>
        <v>8.3767281318468043E-3</v>
      </c>
      <c r="AK20" s="227">
        <f>INDEX(MCEcon!$C$44:$AG$59,$G20,AK$9)</f>
        <v>8.5540521352460673E-3</v>
      </c>
      <c r="AL20" s="227">
        <f>INDEX(MCEcon!$C$44:$AG$59,$G20,AL$9)</f>
        <v>8.7313761386453321E-3</v>
      </c>
      <c r="AM20" s="227">
        <f>INDEX(MCEcon!$C$44:$AG$59,$G20,AM$9)</f>
        <v>9.5929617196507527E-3</v>
      </c>
      <c r="AN20" s="227">
        <f>INDEX(MCEcon!$C$44:$AG$59,$G20,AN$9)</f>
        <v>1.0501756161938675E-2</v>
      </c>
      <c r="AO20" s="227">
        <f t="shared" si="4"/>
        <v>1.2264268041684956E-2</v>
      </c>
      <c r="AP20" s="227">
        <f t="shared" si="4"/>
        <v>1.4034648064978283E-2</v>
      </c>
    </row>
    <row r="21" spans="1:42">
      <c r="A21" s="227" t="s">
        <v>17</v>
      </c>
      <c r="B21" s="228" t="str">
        <f>B20</f>
        <v>PP</v>
      </c>
      <c r="C21" s="228" t="str">
        <f>C20</f>
        <v>Pulp &amp; Paper Products</v>
      </c>
      <c r="D21" s="227">
        <f>D20</f>
        <v>0</v>
      </c>
      <c r="F21" s="228" t="s">
        <v>310</v>
      </c>
      <c r="G21" s="227">
        <f>MATCH(B21,MCEcon!$A$44:$A$59,0)</f>
        <v>6</v>
      </c>
      <c r="H21" s="228"/>
      <c r="I21" s="228"/>
      <c r="J21" s="227">
        <f>INDEX(MCEcon!$C$44:$AG$59,$G21,J$9)</f>
        <v>5.0815214594333641E-3</v>
      </c>
      <c r="K21" s="227">
        <f>INDEX(MCEcon!$C$44:$AG$59,$G21,K$9)</f>
        <v>5.2017821640521775E-3</v>
      </c>
      <c r="L21" s="227">
        <f>INDEX(MCEcon!$C$44:$AG$59,$G21,L$9)</f>
        <v>5.322042868670991E-3</v>
      </c>
      <c r="M21" s="227">
        <f>INDEX(MCEcon!$C$44:$AG$59,$G21,M$9)</f>
        <v>5.4423035732898044E-3</v>
      </c>
      <c r="N21" s="227">
        <f>INDEX(MCEcon!$C$44:$AG$59,$G21,N$9)</f>
        <v>5.5011338202642854E-3</v>
      </c>
      <c r="O21" s="227">
        <f>INDEX(MCEcon!$C$44:$AG$59,$G21,O$9)</f>
        <v>5.5599640672387663E-3</v>
      </c>
      <c r="P21" s="227">
        <f>INDEX(MCEcon!$C$44:$AG$59,$G21,P$9)</f>
        <v>5.6187943142132473E-3</v>
      </c>
      <c r="Q21" s="227">
        <f>INDEX(MCEcon!$C$44:$AG$59,$G21,Q$9)</f>
        <v>5.6776245611877283E-3</v>
      </c>
      <c r="R21" s="227">
        <f>INDEX(MCEcon!$C$44:$AG$59,$G21,R$9)</f>
        <v>5.7364548081622075E-3</v>
      </c>
      <c r="S21" s="227">
        <f>INDEX(MCEcon!$C$44:$AG$59,$G21,S$9)</f>
        <v>5.8578156188434103E-3</v>
      </c>
      <c r="T21" s="227">
        <f>INDEX(MCEcon!$C$44:$AG$59,$G21,T$9)</f>
        <v>5.979176429524613E-3</v>
      </c>
      <c r="U21" s="227">
        <f>INDEX(MCEcon!$C$44:$AG$59,$G21,U$9)</f>
        <v>6.1005372402058158E-3</v>
      </c>
      <c r="V21" s="227">
        <f>INDEX(MCEcon!$C$44:$AG$59,$G21,V$9)</f>
        <v>6.2218980508870186E-3</v>
      </c>
      <c r="W21" s="227">
        <f>INDEX(MCEcon!$C$44:$AG$59,$G21,W$9)</f>
        <v>6.3432588615682196E-3</v>
      </c>
      <c r="X21" s="227">
        <f>INDEX(MCEcon!$C$44:$AG$59,$G21,X$9)</f>
        <v>6.4981040657256534E-3</v>
      </c>
      <c r="Y21" s="227">
        <f>INDEX(MCEcon!$C$44:$AG$59,$G21,Y$9)</f>
        <v>6.6529492698830872E-3</v>
      </c>
      <c r="Z21" s="227">
        <f>INDEX(MCEcon!$C$44:$AG$59,$G21,Z$9)</f>
        <v>6.8077944740405211E-3</v>
      </c>
      <c r="AA21" s="227">
        <f>INDEX(MCEcon!$C$44:$AG$59,$G21,AA$9)</f>
        <v>6.9626396781979549E-3</v>
      </c>
      <c r="AB21" s="227">
        <f>INDEX(MCEcon!$C$44:$AG$59,$G21,AB$9)</f>
        <v>7.1174848823553887E-3</v>
      </c>
      <c r="AC21" s="227">
        <f>INDEX(MCEcon!$C$44:$AG$59,$G21,AC$9)</f>
        <v>7.2629391302141142E-3</v>
      </c>
      <c r="AD21" s="227">
        <f>INDEX(MCEcon!$C$44:$AG$59,$G21,AD$9)</f>
        <v>7.4083933780728396E-3</v>
      </c>
      <c r="AE21" s="227">
        <f>INDEX(MCEcon!$C$44:$AG$59,$G21,AE$9)</f>
        <v>7.5538476259315651E-3</v>
      </c>
      <c r="AF21" s="227">
        <f>INDEX(MCEcon!$C$44:$AG$59,$G21,AF$9)</f>
        <v>7.6993018737902905E-3</v>
      </c>
      <c r="AG21" s="227">
        <f>INDEX(MCEcon!$C$44:$AG$59,$G21,AG$9)</f>
        <v>7.8447561216490151E-3</v>
      </c>
      <c r="AH21" s="227">
        <f>INDEX(MCEcon!$C$44:$AG$59,$G21,AH$9)</f>
        <v>8.0220801250482782E-3</v>
      </c>
      <c r="AI21" s="227">
        <f>INDEX(MCEcon!$C$44:$AG$59,$G21,AI$9)</f>
        <v>8.1994041284475412E-3</v>
      </c>
      <c r="AJ21" s="227">
        <f>INDEX(MCEcon!$C$44:$AG$59,$G21,AJ$9)</f>
        <v>8.3767281318468043E-3</v>
      </c>
      <c r="AK21" s="227">
        <f>INDEX(MCEcon!$C$44:$AG$59,$G21,AK$9)</f>
        <v>8.5540521352460673E-3</v>
      </c>
      <c r="AL21" s="227">
        <f>INDEX(MCEcon!$C$44:$AG$59,$G21,AL$9)</f>
        <v>8.7313761386453321E-3</v>
      </c>
      <c r="AM21" s="227">
        <f>INDEX(MCEcon!$C$44:$AG$59,$G21,AM$9)</f>
        <v>9.5929617196507527E-3</v>
      </c>
      <c r="AN21" s="227">
        <f>INDEX(MCEcon!$C$44:$AG$59,$G21,AN$9)</f>
        <v>1.0501756161938675E-2</v>
      </c>
      <c r="AO21" s="227">
        <f t="shared" si="4"/>
        <v>1.2264268041684956E-2</v>
      </c>
      <c r="AP21" s="227">
        <f t="shared" si="4"/>
        <v>1.4034648064978283E-2</v>
      </c>
    </row>
    <row r="22" spans="1:42">
      <c r="A22" s="227" t="s">
        <v>17</v>
      </c>
      <c r="B22" s="228" t="str">
        <f>[5]IND!B19</f>
        <v>OT</v>
      </c>
      <c r="C22" s="228" t="str">
        <f>[5]IND!A19</f>
        <v>Other</v>
      </c>
      <c r="D22" s="227">
        <f>[5]IND!M19</f>
        <v>1</v>
      </c>
      <c r="F22" s="228"/>
      <c r="G22" s="227">
        <f>MATCH(B22,MCEcon!$A$44:$A$59,0)</f>
        <v>5</v>
      </c>
      <c r="H22" s="228"/>
      <c r="I22" s="228"/>
      <c r="J22" s="227">
        <f>INDEX(MCEcon!$C$44:$AG$59,$G22,J$9)</f>
        <v>7.334621058350009E-2</v>
      </c>
      <c r="K22" s="227">
        <f>INDEX(MCEcon!$C$44:$AG$59,$G22,K$9)</f>
        <v>7.446925745745217E-2</v>
      </c>
      <c r="L22" s="227">
        <f>INDEX(MCEcon!$C$44:$AG$59,$G22,L$9)</f>
        <v>7.559230433140425E-2</v>
      </c>
      <c r="M22" s="227">
        <f>INDEX(MCEcon!$C$44:$AG$59,$G22,M$9)</f>
        <v>7.6715351205356344E-2</v>
      </c>
      <c r="N22" s="227">
        <f>INDEX(MCEcon!$C$44:$AG$59,$G22,N$9)</f>
        <v>7.7250127457606038E-2</v>
      </c>
      <c r="O22" s="227">
        <f>INDEX(MCEcon!$C$44:$AG$59,$G22,O$9)</f>
        <v>7.7784903709855732E-2</v>
      </c>
      <c r="P22" s="227">
        <f>INDEX(MCEcon!$C$44:$AG$59,$G22,P$9)</f>
        <v>7.8319679962105426E-2</v>
      </c>
      <c r="Q22" s="227">
        <f>INDEX(MCEcon!$C$44:$AG$59,$G22,Q$9)</f>
        <v>7.885445621435512E-2</v>
      </c>
      <c r="R22" s="227">
        <f>INDEX(MCEcon!$C$44:$AG$59,$G22,R$9)</f>
        <v>7.9389232466604828E-2</v>
      </c>
      <c r="S22" s="227">
        <f>INDEX(MCEcon!$C$44:$AG$59,$G22,S$9)</f>
        <v>8.1048183437931687E-2</v>
      </c>
      <c r="T22" s="227">
        <f>INDEX(MCEcon!$C$44:$AG$59,$G22,T$9)</f>
        <v>8.2707134409258545E-2</v>
      </c>
      <c r="U22" s="227">
        <f>INDEX(MCEcon!$C$44:$AG$59,$G22,U$9)</f>
        <v>8.4366085380585404E-2</v>
      </c>
      <c r="V22" s="227">
        <f>INDEX(MCEcon!$C$44:$AG$59,$G22,V$9)</f>
        <v>8.6025036351912262E-2</v>
      </c>
      <c r="W22" s="227">
        <f>INDEX(MCEcon!$C$44:$AG$59,$G22,W$9)</f>
        <v>8.7683987323239093E-2</v>
      </c>
      <c r="X22" s="227">
        <f>INDEX(MCEcon!$C$44:$AG$59,$G22,X$9)</f>
        <v>8.995181812645249E-2</v>
      </c>
      <c r="Y22" s="227">
        <f>INDEX(MCEcon!$C$44:$AG$59,$G22,Y$9)</f>
        <v>9.2219648929665887E-2</v>
      </c>
      <c r="Z22" s="227">
        <f>INDEX(MCEcon!$C$44:$AG$59,$G22,Z$9)</f>
        <v>9.4487479732879284E-2</v>
      </c>
      <c r="AA22" s="227">
        <f>INDEX(MCEcon!$C$44:$AG$59,$G22,AA$9)</f>
        <v>9.6755310536092681E-2</v>
      </c>
      <c r="AB22" s="227">
        <f>INDEX(MCEcon!$C$44:$AG$59,$G22,AB$9)</f>
        <v>9.9023141339306106E-2</v>
      </c>
      <c r="AC22" s="227">
        <f>INDEX(MCEcon!$C$44:$AG$59,$G22,AC$9)</f>
        <v>0.10145988699744091</v>
      </c>
      <c r="AD22" s="227">
        <f>INDEX(MCEcon!$C$44:$AG$59,$G22,AD$9)</f>
        <v>0.10389663265557571</v>
      </c>
      <c r="AE22" s="227">
        <f>INDEX(MCEcon!$C$44:$AG$59,$G22,AE$9)</f>
        <v>0.10633337831371051</v>
      </c>
      <c r="AF22" s="227">
        <f>INDEX(MCEcon!$C$44:$AG$59,$G22,AF$9)</f>
        <v>0.10877012397184531</v>
      </c>
      <c r="AG22" s="227">
        <f>INDEX(MCEcon!$C$44:$AG$59,$G22,AG$9)</f>
        <v>0.11120686962998012</v>
      </c>
      <c r="AH22" s="227">
        <f>INDEX(MCEcon!$C$44:$AG$59,$G22,AH$9)</f>
        <v>0.11397428670822626</v>
      </c>
      <c r="AI22" s="227">
        <f>INDEX(MCEcon!$C$44:$AG$59,$G22,AI$9)</f>
        <v>0.1167417037864724</v>
      </c>
      <c r="AJ22" s="227">
        <f>INDEX(MCEcon!$C$44:$AG$59,$G22,AJ$9)</f>
        <v>0.11950912086471854</v>
      </c>
      <c r="AK22" s="227">
        <f>INDEX(MCEcon!$C$44:$AG$59,$G22,AK$9)</f>
        <v>0.12227653794296468</v>
      </c>
      <c r="AL22" s="227">
        <f>INDEX(MCEcon!$C$44:$AG$59,$G22,AL$9)</f>
        <v>0.1250439550212108</v>
      </c>
      <c r="AM22" s="227">
        <f>INDEX(MCEcon!$C$44:$AG$59,$G22,AM$9)</f>
        <v>0.13904673471519646</v>
      </c>
      <c r="AN22" s="227">
        <f>INDEX(MCEcon!$C$44:$AG$59,$G22,AN$9)</f>
        <v>0.15377415548370874</v>
      </c>
      <c r="AO22" s="227">
        <f t="shared" si="4"/>
        <v>0.18238358243378627</v>
      </c>
      <c r="AP22" s="227">
        <f t="shared" si="4"/>
        <v>0.21111378289628391</v>
      </c>
    </row>
    <row r="23" spans="1:42">
      <c r="A23" s="227" t="s">
        <v>17</v>
      </c>
      <c r="B23" s="228"/>
    </row>
    <row r="24" spans="1:42" ht="15" thickBot="1">
      <c r="A24" s="227" t="s">
        <v>17</v>
      </c>
      <c r="B24" s="14" t="s">
        <v>298</v>
      </c>
      <c r="C24" s="14"/>
      <c r="D24" s="14"/>
      <c r="E24" s="14"/>
      <c r="F24" s="14"/>
    </row>
    <row r="25" spans="1:42">
      <c r="A25" s="227" t="s">
        <v>17</v>
      </c>
      <c r="B25" s="227" t="s">
        <v>10</v>
      </c>
      <c r="C25" s="227" t="s">
        <v>11</v>
      </c>
      <c r="D25" s="227" t="s">
        <v>288</v>
      </c>
      <c r="E25" s="227" t="s">
        <v>287</v>
      </c>
    </row>
    <row r="26" spans="1:42">
      <c r="A26" s="61" t="str">
        <f>IF(D10,"*","")</f>
        <v>*</v>
      </c>
      <c r="B26" s="22" t="s">
        <v>295</v>
      </c>
      <c r="C26" s="23" t="s">
        <v>138</v>
      </c>
      <c r="D26" s="61">
        <f t="shared" ref="D26:D38" si="6">F10</f>
        <v>0</v>
      </c>
      <c r="E26" s="23" t="s">
        <v>138</v>
      </c>
      <c r="F26" s="23" t="s">
        <v>138</v>
      </c>
      <c r="G26" s="23" t="s">
        <v>138</v>
      </c>
      <c r="H26" s="23" t="s">
        <v>138</v>
      </c>
      <c r="I26" s="22">
        <v>0</v>
      </c>
      <c r="J26" s="131">
        <v>0</v>
      </c>
      <c r="K26" s="227">
        <f t="shared" ref="K26:AP34" si="7">J26*K10/J10</f>
        <v>0</v>
      </c>
      <c r="L26" s="227">
        <f t="shared" si="7"/>
        <v>0</v>
      </c>
      <c r="M26" s="227">
        <f t="shared" si="7"/>
        <v>0</v>
      </c>
      <c r="N26" s="227">
        <f t="shared" si="7"/>
        <v>0</v>
      </c>
      <c r="O26" s="227">
        <f t="shared" si="7"/>
        <v>0</v>
      </c>
      <c r="P26" s="227">
        <f t="shared" si="7"/>
        <v>0</v>
      </c>
      <c r="Q26" s="227">
        <f t="shared" si="7"/>
        <v>0</v>
      </c>
      <c r="R26" s="227">
        <f t="shared" si="7"/>
        <v>0</v>
      </c>
      <c r="S26" s="227">
        <f t="shared" si="7"/>
        <v>0</v>
      </c>
      <c r="T26" s="227">
        <f t="shared" si="7"/>
        <v>0</v>
      </c>
      <c r="U26" s="227">
        <f t="shared" si="7"/>
        <v>0</v>
      </c>
      <c r="V26" s="227">
        <f t="shared" si="7"/>
        <v>0</v>
      </c>
      <c r="W26" s="227">
        <f t="shared" si="7"/>
        <v>0</v>
      </c>
      <c r="X26" s="227">
        <f t="shared" si="7"/>
        <v>0</v>
      </c>
      <c r="Y26" s="227">
        <f t="shared" si="7"/>
        <v>0</v>
      </c>
      <c r="Z26" s="227">
        <f t="shared" si="7"/>
        <v>0</v>
      </c>
      <c r="AA26" s="227">
        <f t="shared" si="7"/>
        <v>0</v>
      </c>
      <c r="AB26" s="227">
        <f t="shared" si="7"/>
        <v>0</v>
      </c>
      <c r="AC26" s="227">
        <f t="shared" si="7"/>
        <v>0</v>
      </c>
      <c r="AD26" s="227">
        <f t="shared" si="7"/>
        <v>0</v>
      </c>
      <c r="AE26" s="227">
        <f t="shared" si="7"/>
        <v>0</v>
      </c>
      <c r="AF26" s="227">
        <f t="shared" si="7"/>
        <v>0</v>
      </c>
      <c r="AG26" s="227">
        <f t="shared" si="7"/>
        <v>0</v>
      </c>
      <c r="AH26" s="227">
        <f t="shared" si="7"/>
        <v>0</v>
      </c>
      <c r="AI26" s="227">
        <f t="shared" si="7"/>
        <v>0</v>
      </c>
      <c r="AJ26" s="227">
        <f t="shared" si="7"/>
        <v>0</v>
      </c>
      <c r="AK26" s="227">
        <f t="shared" si="7"/>
        <v>0</v>
      </c>
      <c r="AL26" s="227">
        <f t="shared" si="7"/>
        <v>0</v>
      </c>
      <c r="AM26" s="227">
        <f t="shared" si="7"/>
        <v>0</v>
      </c>
      <c r="AN26" s="227">
        <f t="shared" si="7"/>
        <v>0</v>
      </c>
      <c r="AO26" s="227">
        <f t="shared" si="7"/>
        <v>0</v>
      </c>
      <c r="AP26" s="227">
        <f t="shared" si="7"/>
        <v>0</v>
      </c>
    </row>
    <row r="27" spans="1:42">
      <c r="A27" s="61" t="str">
        <f>IF(D11,"*","")</f>
        <v/>
      </c>
      <c r="B27" s="22" t="s">
        <v>295</v>
      </c>
      <c r="C27" s="23" t="s">
        <v>138</v>
      </c>
      <c r="D27" s="61" t="str">
        <f t="shared" si="6"/>
        <v>IFA_M</v>
      </c>
      <c r="E27" s="23" t="s">
        <v>138</v>
      </c>
      <c r="F27" s="23" t="s">
        <v>138</v>
      </c>
      <c r="G27" s="23" t="s">
        <v>138</v>
      </c>
      <c r="H27" s="23" t="s">
        <v>138</v>
      </c>
      <c r="I27" s="22">
        <v>0</v>
      </c>
      <c r="J27" s="166">
        <f>'[5]FA-TSData'!J2</f>
        <v>4.0820999999999996</v>
      </c>
      <c r="K27" s="166">
        <f>'[5]FA-TSData'!K2</f>
        <v>4.1753999999999998</v>
      </c>
      <c r="L27" s="166">
        <f>'[5]FA-TSData'!L2</f>
        <v>4.8628999999999998</v>
      </c>
      <c r="M27" s="166">
        <f>'[5]FA-TSData'!M2</f>
        <v>4.4805999999999999</v>
      </c>
      <c r="N27" s="166">
        <f>'[5]FA-TSData'!N2</f>
        <v>4.3260612235437241</v>
      </c>
      <c r="O27" s="166">
        <f>'[5]FA-TSData'!O2</f>
        <v>4.372754104082464</v>
      </c>
      <c r="P27" s="227">
        <f>O27*P11/O11</f>
        <v>4.3737724672554208</v>
      </c>
      <c r="Q27" s="227">
        <f t="shared" si="7"/>
        <v>4.3747908304283785</v>
      </c>
      <c r="R27" s="227">
        <f t="shared" si="7"/>
        <v>4.3758091936013361</v>
      </c>
      <c r="S27" s="227">
        <f t="shared" si="7"/>
        <v>4.4257772500312873</v>
      </c>
      <c r="T27" s="227">
        <f t="shared" si="7"/>
        <v>4.4757453064612385</v>
      </c>
      <c r="U27" s="227">
        <f t="shared" si="7"/>
        <v>4.5257133628911896</v>
      </c>
      <c r="V27" s="227">
        <f t="shared" si="7"/>
        <v>4.5756814193211408</v>
      </c>
      <c r="W27" s="227">
        <f t="shared" si="7"/>
        <v>4.6256494757510946</v>
      </c>
      <c r="X27" s="227">
        <f t="shared" si="7"/>
        <v>4.7176322572531992</v>
      </c>
      <c r="Y27" s="227">
        <f t="shared" si="7"/>
        <v>4.8096150387553038</v>
      </c>
      <c r="Z27" s="227">
        <f t="shared" si="7"/>
        <v>4.9015978202574093</v>
      </c>
      <c r="AA27" s="227">
        <f t="shared" si="7"/>
        <v>4.9935806017595148</v>
      </c>
      <c r="AB27" s="227">
        <f t="shared" si="7"/>
        <v>5.0855633832616194</v>
      </c>
      <c r="AC27" s="227">
        <f t="shared" si="7"/>
        <v>5.1902587105701423</v>
      </c>
      <c r="AD27" s="227">
        <f t="shared" si="7"/>
        <v>5.2949540378786653</v>
      </c>
      <c r="AE27" s="227">
        <f t="shared" si="7"/>
        <v>5.3996493651871882</v>
      </c>
      <c r="AF27" s="227">
        <f t="shared" si="7"/>
        <v>5.5043446924957111</v>
      </c>
      <c r="AG27" s="227">
        <f t="shared" si="7"/>
        <v>5.6090400198042332</v>
      </c>
      <c r="AH27" s="227">
        <f t="shared" si="7"/>
        <v>5.7343102277638138</v>
      </c>
      <c r="AI27" s="227">
        <f t="shared" si="7"/>
        <v>5.8595804357233945</v>
      </c>
      <c r="AJ27" s="227">
        <f t="shared" si="7"/>
        <v>5.9848506436829751</v>
      </c>
      <c r="AK27" s="227">
        <f t="shared" si="7"/>
        <v>6.1101208516425558</v>
      </c>
      <c r="AL27" s="227">
        <f t="shared" si="7"/>
        <v>6.2353910596021356</v>
      </c>
      <c r="AM27" s="227">
        <f t="shared" si="7"/>
        <v>6.8077649388196217</v>
      </c>
      <c r="AN27" s="227">
        <f t="shared" si="7"/>
        <v>7.357115654868605</v>
      </c>
      <c r="AO27" s="227">
        <f t="shared" si="7"/>
        <v>8.4826774439964758</v>
      </c>
      <c r="AP27" s="227">
        <f t="shared" si="7"/>
        <v>9.6044020392629399</v>
      </c>
    </row>
    <row r="28" spans="1:42">
      <c r="A28" s="61" t="str">
        <f>IF(D12,"*","")</f>
        <v/>
      </c>
      <c r="B28" s="22" t="s">
        <v>295</v>
      </c>
      <c r="C28" s="23" t="s">
        <v>138</v>
      </c>
      <c r="D28" s="61" t="str">
        <f t="shared" si="6"/>
        <v>IISCRS</v>
      </c>
      <c r="E28" s="23" t="s">
        <v>138</v>
      </c>
      <c r="F28" s="23" t="s">
        <v>138</v>
      </c>
      <c r="G28" s="23" t="s">
        <v>138</v>
      </c>
      <c r="H28" s="23" t="s">
        <v>138</v>
      </c>
      <c r="I28" s="22">
        <v>0</v>
      </c>
      <c r="J28" s="131">
        <f>'[5]IS-TSData'!J24</f>
        <v>6.94</v>
      </c>
      <c r="K28" s="131">
        <f>'[5]IS-TSData'!K24</f>
        <v>7.1000000000000005</v>
      </c>
      <c r="L28" s="131">
        <f>'[5]IS-TSData'!L24</f>
        <v>6.5</v>
      </c>
      <c r="M28" s="131">
        <f>'[5]IS-TSData'!M24</f>
        <v>6.4000000000000012</v>
      </c>
      <c r="N28" s="131">
        <f>'[5]IS-TSData'!N24</f>
        <v>6.0910000000000002</v>
      </c>
      <c r="O28" s="131">
        <f>'[5]IS-TSData'!O24</f>
        <v>6.23</v>
      </c>
      <c r="P28" s="227">
        <f>O28*P12/O12</f>
        <v>6.2238693978673263</v>
      </c>
      <c r="Q28" s="227">
        <f t="shared" si="7"/>
        <v>6.217738795734653</v>
      </c>
      <c r="R28" s="227">
        <f t="shared" si="7"/>
        <v>6.2116081936019798</v>
      </c>
      <c r="S28" s="227">
        <f t="shared" si="7"/>
        <v>6.303259392502313</v>
      </c>
      <c r="T28" s="227">
        <f t="shared" si="7"/>
        <v>6.3949105914026463</v>
      </c>
      <c r="U28" s="227">
        <f t="shared" si="7"/>
        <v>6.4865617903029795</v>
      </c>
      <c r="V28" s="227">
        <f t="shared" si="7"/>
        <v>6.5782129892033137</v>
      </c>
      <c r="W28" s="227">
        <f t="shared" si="7"/>
        <v>6.6698641881036478</v>
      </c>
      <c r="X28" s="227">
        <f t="shared" si="7"/>
        <v>6.8670785306564426</v>
      </c>
      <c r="Y28" s="227">
        <f t="shared" si="7"/>
        <v>7.0642928732092365</v>
      </c>
      <c r="Z28" s="227">
        <f t="shared" si="7"/>
        <v>7.2615072157620304</v>
      </c>
      <c r="AA28" s="227">
        <f t="shared" si="7"/>
        <v>7.4587215583148243</v>
      </c>
      <c r="AB28" s="227">
        <f t="shared" si="7"/>
        <v>7.6559359008676209</v>
      </c>
      <c r="AC28" s="227">
        <f t="shared" si="7"/>
        <v>7.7945532675315317</v>
      </c>
      <c r="AD28" s="227">
        <f t="shared" si="7"/>
        <v>7.9331706341954433</v>
      </c>
      <c r="AE28" s="227">
        <f t="shared" si="7"/>
        <v>8.0717880008593532</v>
      </c>
      <c r="AF28" s="227">
        <f t="shared" si="7"/>
        <v>8.2104053675232631</v>
      </c>
      <c r="AG28" s="227">
        <f t="shared" si="7"/>
        <v>8.3490227341871712</v>
      </c>
      <c r="AH28" s="227">
        <f t="shared" si="7"/>
        <v>8.5289043739086488</v>
      </c>
      <c r="AI28" s="227">
        <f t="shared" si="7"/>
        <v>8.7087860136301281</v>
      </c>
      <c r="AJ28" s="227">
        <f t="shared" si="7"/>
        <v>8.8886676533516074</v>
      </c>
      <c r="AK28" s="227">
        <f t="shared" si="7"/>
        <v>9.0685492930730867</v>
      </c>
      <c r="AL28" s="227">
        <f t="shared" si="7"/>
        <v>9.2484309327945642</v>
      </c>
      <c r="AM28" s="227">
        <f t="shared" si="7"/>
        <v>9.9375508343611507</v>
      </c>
      <c r="AN28" s="227">
        <f t="shared" si="7"/>
        <v>10.731882326602902</v>
      </c>
      <c r="AO28" s="227">
        <f t="shared" si="7"/>
        <v>12.197798455298726</v>
      </c>
      <c r="AP28" s="227">
        <f t="shared" si="7"/>
        <v>13.681249849107051</v>
      </c>
    </row>
    <row r="29" spans="1:42">
      <c r="A29" s="61" t="str">
        <f t="shared" ref="A29:A38" si="8">IF(D13,"*","")</f>
        <v>*</v>
      </c>
      <c r="B29" s="22" t="s">
        <v>295</v>
      </c>
      <c r="C29" s="23" t="s">
        <v>138</v>
      </c>
      <c r="D29" s="61">
        <f t="shared" si="6"/>
        <v>0</v>
      </c>
      <c r="E29" s="23" t="s">
        <v>138</v>
      </c>
      <c r="F29" s="23" t="s">
        <v>138</v>
      </c>
      <c r="G29" s="23" t="s">
        <v>138</v>
      </c>
      <c r="H29" s="23" t="s">
        <v>138</v>
      </c>
      <c r="I29" s="22">
        <v>0</v>
      </c>
      <c r="J29" s="131">
        <v>0</v>
      </c>
      <c r="K29" s="227">
        <f t="shared" si="7"/>
        <v>0</v>
      </c>
      <c r="L29" s="227">
        <f t="shared" si="7"/>
        <v>0</v>
      </c>
      <c r="M29" s="227">
        <f t="shared" si="7"/>
        <v>0</v>
      </c>
      <c r="N29" s="227">
        <f t="shared" si="7"/>
        <v>0</v>
      </c>
      <c r="O29" s="227">
        <f t="shared" si="7"/>
        <v>0</v>
      </c>
      <c r="P29" s="227">
        <f t="shared" si="7"/>
        <v>0</v>
      </c>
      <c r="Q29" s="227">
        <f t="shared" si="7"/>
        <v>0</v>
      </c>
      <c r="R29" s="227">
        <f t="shared" si="7"/>
        <v>0</v>
      </c>
      <c r="S29" s="227">
        <f t="shared" si="7"/>
        <v>0</v>
      </c>
      <c r="T29" s="227">
        <f t="shared" si="7"/>
        <v>0</v>
      </c>
      <c r="U29" s="227">
        <f t="shared" si="7"/>
        <v>0</v>
      </c>
      <c r="V29" s="227">
        <f t="shared" si="7"/>
        <v>0</v>
      </c>
      <c r="W29" s="227">
        <f t="shared" si="7"/>
        <v>0</v>
      </c>
      <c r="X29" s="227">
        <f t="shared" si="7"/>
        <v>0</v>
      </c>
      <c r="Y29" s="227">
        <f t="shared" si="7"/>
        <v>0</v>
      </c>
      <c r="Z29" s="227">
        <f t="shared" si="7"/>
        <v>0</v>
      </c>
      <c r="AA29" s="227">
        <f t="shared" si="7"/>
        <v>0</v>
      </c>
      <c r="AB29" s="227">
        <f t="shared" si="7"/>
        <v>0</v>
      </c>
      <c r="AC29" s="227">
        <f t="shared" si="7"/>
        <v>0</v>
      </c>
      <c r="AD29" s="227">
        <f t="shared" si="7"/>
        <v>0</v>
      </c>
      <c r="AE29" s="227">
        <f t="shared" si="7"/>
        <v>0</v>
      </c>
      <c r="AF29" s="227">
        <f t="shared" si="7"/>
        <v>0</v>
      </c>
      <c r="AG29" s="227">
        <f t="shared" si="7"/>
        <v>0</v>
      </c>
      <c r="AH29" s="227">
        <f t="shared" si="7"/>
        <v>0</v>
      </c>
      <c r="AI29" s="227">
        <f t="shared" si="7"/>
        <v>0</v>
      </c>
      <c r="AJ29" s="227">
        <f t="shared" si="7"/>
        <v>0</v>
      </c>
      <c r="AK29" s="227">
        <f t="shared" si="7"/>
        <v>0</v>
      </c>
      <c r="AL29" s="227">
        <f t="shared" si="7"/>
        <v>0</v>
      </c>
      <c r="AM29" s="227">
        <f t="shared" si="7"/>
        <v>0</v>
      </c>
      <c r="AN29" s="227">
        <f t="shared" si="7"/>
        <v>0</v>
      </c>
      <c r="AO29" s="227">
        <f t="shared" si="7"/>
        <v>0</v>
      </c>
      <c r="AP29" s="227">
        <f t="shared" si="7"/>
        <v>0</v>
      </c>
    </row>
    <row r="30" spans="1:42">
      <c r="A30" s="61" t="str">
        <f t="shared" si="8"/>
        <v>*</v>
      </c>
      <c r="B30" s="22" t="s">
        <v>295</v>
      </c>
      <c r="C30" s="23" t="s">
        <v>138</v>
      </c>
      <c r="D30" s="61">
        <f t="shared" si="6"/>
        <v>0</v>
      </c>
      <c r="E30" s="23" t="s">
        <v>138</v>
      </c>
      <c r="F30" s="23" t="s">
        <v>138</v>
      </c>
      <c r="G30" s="23" t="s">
        <v>138</v>
      </c>
      <c r="H30" s="23" t="s">
        <v>138</v>
      </c>
      <c r="I30" s="22">
        <v>0</v>
      </c>
      <c r="J30" s="131">
        <v>0</v>
      </c>
      <c r="K30" s="227">
        <f t="shared" si="7"/>
        <v>0</v>
      </c>
      <c r="L30" s="227">
        <f t="shared" si="7"/>
        <v>0</v>
      </c>
      <c r="M30" s="227">
        <f t="shared" si="7"/>
        <v>0</v>
      </c>
      <c r="N30" s="227">
        <f t="shared" si="7"/>
        <v>0</v>
      </c>
      <c r="O30" s="227">
        <f t="shared" si="7"/>
        <v>0</v>
      </c>
      <c r="P30" s="227">
        <f t="shared" si="7"/>
        <v>0</v>
      </c>
      <c r="Q30" s="227">
        <f t="shared" si="7"/>
        <v>0</v>
      </c>
      <c r="R30" s="227">
        <f t="shared" si="7"/>
        <v>0</v>
      </c>
      <c r="S30" s="227">
        <f t="shared" si="7"/>
        <v>0</v>
      </c>
      <c r="T30" s="227">
        <f t="shared" si="7"/>
        <v>0</v>
      </c>
      <c r="U30" s="227">
        <f t="shared" si="7"/>
        <v>0</v>
      </c>
      <c r="V30" s="227">
        <f t="shared" si="7"/>
        <v>0</v>
      </c>
      <c r="W30" s="227">
        <f t="shared" si="7"/>
        <v>0</v>
      </c>
      <c r="X30" s="227">
        <f t="shared" si="7"/>
        <v>0</v>
      </c>
      <c r="Y30" s="227">
        <f t="shared" si="7"/>
        <v>0</v>
      </c>
      <c r="Z30" s="227">
        <f t="shared" si="7"/>
        <v>0</v>
      </c>
      <c r="AA30" s="227">
        <f t="shared" si="7"/>
        <v>0</v>
      </c>
      <c r="AB30" s="227">
        <f t="shared" si="7"/>
        <v>0</v>
      </c>
      <c r="AC30" s="227">
        <f t="shared" si="7"/>
        <v>0</v>
      </c>
      <c r="AD30" s="227">
        <f t="shared" si="7"/>
        <v>0</v>
      </c>
      <c r="AE30" s="227">
        <f t="shared" si="7"/>
        <v>0</v>
      </c>
      <c r="AF30" s="227">
        <f t="shared" si="7"/>
        <v>0</v>
      </c>
      <c r="AG30" s="227">
        <f t="shared" si="7"/>
        <v>0</v>
      </c>
      <c r="AH30" s="227">
        <f t="shared" si="7"/>
        <v>0</v>
      </c>
      <c r="AI30" s="227">
        <f t="shared" si="7"/>
        <v>0</v>
      </c>
      <c r="AJ30" s="227">
        <f t="shared" si="7"/>
        <v>0</v>
      </c>
      <c r="AK30" s="227">
        <f t="shared" si="7"/>
        <v>0</v>
      </c>
      <c r="AL30" s="227">
        <f t="shared" si="7"/>
        <v>0</v>
      </c>
      <c r="AM30" s="227">
        <f t="shared" si="7"/>
        <v>0</v>
      </c>
      <c r="AN30" s="227">
        <f t="shared" si="7"/>
        <v>0</v>
      </c>
      <c r="AO30" s="227">
        <f t="shared" si="7"/>
        <v>0</v>
      </c>
      <c r="AP30" s="227">
        <f t="shared" si="7"/>
        <v>0</v>
      </c>
    </row>
    <row r="31" spans="1:42">
      <c r="A31" s="61" t="str">
        <f t="shared" si="8"/>
        <v/>
      </c>
      <c r="B31" s="22" t="s">
        <v>295</v>
      </c>
      <c r="C31" s="23" t="s">
        <v>138</v>
      </c>
      <c r="D31" s="61" t="str">
        <f t="shared" si="6"/>
        <v>INMCEM</v>
      </c>
      <c r="E31" s="23" t="s">
        <v>138</v>
      </c>
      <c r="F31" s="23" t="s">
        <v>138</v>
      </c>
      <c r="G31" s="23" t="s">
        <v>138</v>
      </c>
      <c r="H31" s="23" t="s">
        <v>138</v>
      </c>
      <c r="I31" s="22">
        <v>0</v>
      </c>
      <c r="J31" s="131">
        <f>'[5]NMM-TSData'!J14</f>
        <v>14.27</v>
      </c>
      <c r="K31" s="131">
        <f>'[5]NMM-TSData'!K14</f>
        <v>14.368</v>
      </c>
      <c r="L31" s="131">
        <f>'[5]NMM-TSData'!L14</f>
        <v>14.465999999999999</v>
      </c>
      <c r="M31" s="131">
        <f>'[5]NMM-TSData'!M14</f>
        <v>14.564</v>
      </c>
      <c r="N31" s="131">
        <f>'[5]NMM-TSData'!N14</f>
        <v>14.662000000000001</v>
      </c>
      <c r="O31" s="131">
        <f>'[5]NMM-TSData'!O14</f>
        <v>14.759960880300349</v>
      </c>
      <c r="P31" s="227">
        <f t="shared" si="7"/>
        <v>14.890124378582435</v>
      </c>
      <c r="Q31" s="227">
        <f t="shared" si="7"/>
        <v>15.02028787686452</v>
      </c>
      <c r="R31" s="227">
        <f t="shared" si="7"/>
        <v>15.150451375146609</v>
      </c>
      <c r="S31" s="227">
        <f t="shared" si="7"/>
        <v>15.470983812349266</v>
      </c>
      <c r="T31" s="227">
        <f t="shared" si="7"/>
        <v>15.79151624955192</v>
      </c>
      <c r="U31" s="227">
        <f t="shared" si="7"/>
        <v>16.112048686754576</v>
      </c>
      <c r="V31" s="227">
        <f t="shared" si="7"/>
        <v>16.432581123957231</v>
      </c>
      <c r="W31" s="227">
        <f t="shared" si="7"/>
        <v>16.753113561159889</v>
      </c>
      <c r="X31" s="227">
        <f t="shared" si="7"/>
        <v>17.179974128307986</v>
      </c>
      <c r="Y31" s="227">
        <f t="shared" si="7"/>
        <v>17.606834695456087</v>
      </c>
      <c r="Z31" s="227">
        <f t="shared" si="7"/>
        <v>18.033695262604184</v>
      </c>
      <c r="AA31" s="227">
        <f t="shared" si="7"/>
        <v>18.46055582975228</v>
      </c>
      <c r="AB31" s="227">
        <f t="shared" si="7"/>
        <v>18.887416396900385</v>
      </c>
      <c r="AC31" s="227">
        <f t="shared" si="7"/>
        <v>19.346690303308865</v>
      </c>
      <c r="AD31" s="227">
        <f t="shared" si="7"/>
        <v>19.805964209717345</v>
      </c>
      <c r="AE31" s="227">
        <f t="shared" si="7"/>
        <v>20.265238116125825</v>
      </c>
      <c r="AF31" s="227">
        <f t="shared" si="7"/>
        <v>20.724512022534302</v>
      </c>
      <c r="AG31" s="227">
        <f t="shared" si="7"/>
        <v>21.183785928942783</v>
      </c>
      <c r="AH31" s="227">
        <f t="shared" si="7"/>
        <v>21.698036001435185</v>
      </c>
      <c r="AI31" s="227">
        <f t="shared" si="7"/>
        <v>22.21228607392759</v>
      </c>
      <c r="AJ31" s="227">
        <f t="shared" si="7"/>
        <v>22.726536146419996</v>
      </c>
      <c r="AK31" s="227">
        <f t="shared" si="7"/>
        <v>23.240786218912401</v>
      </c>
      <c r="AL31" s="227">
        <f t="shared" si="7"/>
        <v>23.755036291404803</v>
      </c>
      <c r="AM31" s="227">
        <f t="shared" si="7"/>
        <v>26.414167077984928</v>
      </c>
      <c r="AN31" s="227">
        <f t="shared" si="7"/>
        <v>29.19529915742498</v>
      </c>
      <c r="AO31" s="227">
        <f t="shared" si="7"/>
        <v>34.615228474635146</v>
      </c>
      <c r="AP31" s="227">
        <f t="shared" si="7"/>
        <v>40.055491340655337</v>
      </c>
    </row>
    <row r="32" spans="1:42">
      <c r="A32" s="61" t="str">
        <f t="shared" si="8"/>
        <v/>
      </c>
      <c r="B32" s="22" t="s">
        <v>295</v>
      </c>
      <c r="C32" s="23" t="s">
        <v>138</v>
      </c>
      <c r="D32" s="61" t="str">
        <f t="shared" si="6"/>
        <v>INMLIM</v>
      </c>
      <c r="E32" s="23" t="s">
        <v>138</v>
      </c>
      <c r="F32" s="23" t="s">
        <v>138</v>
      </c>
      <c r="G32" s="23" t="s">
        <v>138</v>
      </c>
      <c r="H32" s="23" t="s">
        <v>138</v>
      </c>
      <c r="I32" s="22">
        <v>0</v>
      </c>
      <c r="J32" s="165">
        <f>'[5]NMM-TSData'!J16</f>
        <v>1.2</v>
      </c>
      <c r="K32" s="165">
        <f>'[5]NMM-TSData'!K16</f>
        <v>1.1733333333333333</v>
      </c>
      <c r="L32" s="165">
        <f>'[5]NMM-TSData'!L16</f>
        <v>1.1466666666666667</v>
      </c>
      <c r="M32" s="165">
        <f>'[5]NMM-TSData'!M16</f>
        <v>1.1200000000000001</v>
      </c>
      <c r="N32" s="165">
        <f>'[5]NMM-TSData'!N16</f>
        <v>1.1200000000000001</v>
      </c>
      <c r="O32" s="165">
        <f>'[5]NMM-TSData'!O16</f>
        <v>1.3591716472036741</v>
      </c>
      <c r="P32" s="227">
        <f t="shared" si="7"/>
        <v>1.3711577586710817</v>
      </c>
      <c r="Q32" s="227">
        <f t="shared" si="7"/>
        <v>1.3831438701384893</v>
      </c>
      <c r="R32" s="227">
        <f t="shared" si="7"/>
        <v>1.3951299816058973</v>
      </c>
      <c r="S32" s="227">
        <f t="shared" si="7"/>
        <v>1.4246462251913663</v>
      </c>
      <c r="T32" s="227">
        <f t="shared" si="7"/>
        <v>1.4541624687768353</v>
      </c>
      <c r="U32" s="227">
        <f t="shared" si="7"/>
        <v>1.4836787123623043</v>
      </c>
      <c r="V32" s="227">
        <f t="shared" si="7"/>
        <v>1.5131949559477733</v>
      </c>
      <c r="W32" s="227">
        <f t="shared" si="7"/>
        <v>1.542711199533243</v>
      </c>
      <c r="X32" s="227">
        <f t="shared" si="7"/>
        <v>1.5820186736439177</v>
      </c>
      <c r="Y32" s="227">
        <f t="shared" si="7"/>
        <v>1.6213261477545922</v>
      </c>
      <c r="Z32" s="227">
        <f t="shared" si="7"/>
        <v>1.6606336218652669</v>
      </c>
      <c r="AA32" s="227">
        <f t="shared" si="7"/>
        <v>1.6999410959759413</v>
      </c>
      <c r="AB32" s="227">
        <f t="shared" si="7"/>
        <v>1.7392485700866165</v>
      </c>
      <c r="AC32" s="227">
        <f t="shared" si="7"/>
        <v>1.781540827969496</v>
      </c>
      <c r="AD32" s="227">
        <f t="shared" si="7"/>
        <v>1.8238330858523755</v>
      </c>
      <c r="AE32" s="227">
        <f t="shared" si="7"/>
        <v>1.8661253437352552</v>
      </c>
      <c r="AF32" s="227">
        <f t="shared" si="7"/>
        <v>1.9084176016181349</v>
      </c>
      <c r="AG32" s="227">
        <f t="shared" si="7"/>
        <v>1.9507098595010148</v>
      </c>
      <c r="AH32" s="227">
        <f t="shared" si="7"/>
        <v>1.9980646000570674</v>
      </c>
      <c r="AI32" s="227">
        <f t="shared" si="7"/>
        <v>2.0454193406131203</v>
      </c>
      <c r="AJ32" s="227">
        <f t="shared" si="7"/>
        <v>2.0927740811691731</v>
      </c>
      <c r="AK32" s="227">
        <f t="shared" si="7"/>
        <v>2.1401288217252259</v>
      </c>
      <c r="AL32" s="227">
        <f t="shared" si="7"/>
        <v>2.1874835622812783</v>
      </c>
      <c r="AM32" s="227">
        <f t="shared" si="7"/>
        <v>2.4323497377838081</v>
      </c>
      <c r="AN32" s="227">
        <f t="shared" si="7"/>
        <v>2.6884504077082525</v>
      </c>
      <c r="AO32" s="227">
        <f t="shared" si="7"/>
        <v>3.1875448373982396</v>
      </c>
      <c r="AP32" s="227">
        <f t="shared" si="7"/>
        <v>3.6885116828252156</v>
      </c>
    </row>
    <row r="33" spans="1:42">
      <c r="A33" s="61" t="str">
        <f t="shared" si="8"/>
        <v/>
      </c>
      <c r="B33" s="22" t="s">
        <v>295</v>
      </c>
      <c r="C33" s="23" t="s">
        <v>138</v>
      </c>
      <c r="D33" s="61" t="str">
        <f t="shared" si="6"/>
        <v>INMGLA</v>
      </c>
      <c r="E33" s="23" t="s">
        <v>138</v>
      </c>
      <c r="F33" s="23" t="s">
        <v>138</v>
      </c>
      <c r="G33" s="23" t="s">
        <v>138</v>
      </c>
      <c r="H33" s="23" t="s">
        <v>138</v>
      </c>
      <c r="I33" s="22">
        <v>0</v>
      </c>
      <c r="J33" s="131">
        <f>'[5]NMM-TSData'!J15</f>
        <v>1.27</v>
      </c>
      <c r="K33" s="131">
        <f>'[5]NMM-TSData'!K15</f>
        <v>1.2484871200000001</v>
      </c>
      <c r="L33" s="131">
        <f>'[5]NMM-TSData'!L15</f>
        <v>1.2269742400000001</v>
      </c>
      <c r="M33" s="131">
        <f>'[5]NMM-TSData'!M15</f>
        <v>1.2054613600000001</v>
      </c>
      <c r="N33" s="131">
        <f>'[5]NMM-TSData'!N15</f>
        <v>1.1839484800000002</v>
      </c>
      <c r="O33" s="131">
        <f>'[5]NMM-TSData'!O15</f>
        <v>1.1624356</v>
      </c>
      <c r="P33" s="227">
        <f t="shared" si="7"/>
        <v>1.172686757536981</v>
      </c>
      <c r="Q33" s="227">
        <f t="shared" si="7"/>
        <v>1.1829379150739621</v>
      </c>
      <c r="R33" s="227">
        <f t="shared" si="7"/>
        <v>1.1931890726109433</v>
      </c>
      <c r="S33" s="227">
        <f t="shared" si="7"/>
        <v>1.2184329278610222</v>
      </c>
      <c r="T33" s="227">
        <f t="shared" si="7"/>
        <v>1.2436767831111011</v>
      </c>
      <c r="U33" s="227">
        <f t="shared" si="7"/>
        <v>1.26892063836118</v>
      </c>
      <c r="V33" s="227">
        <f t="shared" si="7"/>
        <v>1.2941644936112588</v>
      </c>
      <c r="W33" s="227">
        <f t="shared" si="7"/>
        <v>1.3194083488613382</v>
      </c>
      <c r="X33" s="227">
        <f t="shared" si="7"/>
        <v>1.3530261831844224</v>
      </c>
      <c r="Y33" s="227">
        <f t="shared" si="7"/>
        <v>1.3866440175075063</v>
      </c>
      <c r="Z33" s="227">
        <f t="shared" si="7"/>
        <v>1.4202618518305903</v>
      </c>
      <c r="AA33" s="227">
        <f t="shared" si="7"/>
        <v>1.4538796861536742</v>
      </c>
      <c r="AB33" s="227">
        <f t="shared" si="7"/>
        <v>1.4874975204767589</v>
      </c>
      <c r="AC33" s="227">
        <f t="shared" si="7"/>
        <v>1.5236681000121579</v>
      </c>
      <c r="AD33" s="227">
        <f t="shared" si="7"/>
        <v>1.5598386795475569</v>
      </c>
      <c r="AE33" s="227">
        <f t="shared" si="7"/>
        <v>1.5960092590829558</v>
      </c>
      <c r="AF33" s="227">
        <f t="shared" si="7"/>
        <v>1.6321798386183548</v>
      </c>
      <c r="AG33" s="227">
        <f t="shared" si="7"/>
        <v>1.6683504181537541</v>
      </c>
      <c r="AH33" s="227">
        <f t="shared" si="7"/>
        <v>1.7088507010756142</v>
      </c>
      <c r="AI33" s="227">
        <f t="shared" si="7"/>
        <v>1.7493509839974746</v>
      </c>
      <c r="AJ33" s="227">
        <f t="shared" si="7"/>
        <v>1.7898512669193347</v>
      </c>
      <c r="AK33" s="227">
        <f t="shared" si="7"/>
        <v>1.8303515498411949</v>
      </c>
      <c r="AL33" s="227">
        <f t="shared" si="7"/>
        <v>1.8708518327630548</v>
      </c>
      <c r="AM33" s="227">
        <f t="shared" si="7"/>
        <v>2.0802743587741017</v>
      </c>
      <c r="AN33" s="227">
        <f t="shared" si="7"/>
        <v>2.299305219605039</v>
      </c>
      <c r="AO33" s="227">
        <f t="shared" si="7"/>
        <v>2.7261572173103734</v>
      </c>
      <c r="AP33" s="227">
        <f t="shared" si="7"/>
        <v>3.1546106041523587</v>
      </c>
    </row>
    <row r="34" spans="1:42">
      <c r="A34" s="61" t="str">
        <f t="shared" si="8"/>
        <v/>
      </c>
      <c r="B34" s="22" t="s">
        <v>295</v>
      </c>
      <c r="C34" s="23" t="s">
        <v>138</v>
      </c>
      <c r="D34" s="61" t="str">
        <f t="shared" si="6"/>
        <v>INMBRI</v>
      </c>
      <c r="E34" s="23" t="s">
        <v>138</v>
      </c>
      <c r="F34" s="23" t="s">
        <v>138</v>
      </c>
      <c r="G34" s="23" t="s">
        <v>138</v>
      </c>
      <c r="H34" s="23" t="s">
        <v>138</v>
      </c>
      <c r="I34" s="22">
        <v>0</v>
      </c>
      <c r="J34" s="166">
        <f>'[5]NMM-TSData'!J13</f>
        <v>3.2959999999999998</v>
      </c>
      <c r="K34" s="166">
        <f>'[5]NMM-TSData'!K13</f>
        <v>4.5590000000000002</v>
      </c>
      <c r="L34" s="166">
        <f>'[5]NMM-TSData'!L13</f>
        <v>5.8220999999999998</v>
      </c>
      <c r="M34" s="166">
        <f>'[5]NMM-TSData'!M13</f>
        <v>7.0850999999999997</v>
      </c>
      <c r="N34" s="166">
        <f>'[5]NMM-TSData'!N13</f>
        <v>8.3482000000000003</v>
      </c>
      <c r="O34" s="166">
        <f>'[5]NMM-TSData'!O13</f>
        <v>9.6111784370000013</v>
      </c>
      <c r="P34" s="227">
        <f t="shared" si="7"/>
        <v>9.69593642640924</v>
      </c>
      <c r="Q34" s="227">
        <f t="shared" si="7"/>
        <v>9.7806944158184788</v>
      </c>
      <c r="R34" s="227">
        <f t="shared" si="7"/>
        <v>9.8654524052277193</v>
      </c>
      <c r="S34" s="227">
        <f t="shared" si="7"/>
        <v>10.074172094513136</v>
      </c>
      <c r="T34" s="227">
        <f t="shared" si="7"/>
        <v>10.282891783798553</v>
      </c>
      <c r="U34" s="227">
        <f t="shared" si="7"/>
        <v>10.491611473083969</v>
      </c>
      <c r="V34" s="227">
        <f t="shared" si="7"/>
        <v>10.700331162369386</v>
      </c>
      <c r="W34" s="227">
        <f t="shared" si="7"/>
        <v>10.909050851654808</v>
      </c>
      <c r="X34" s="227">
        <f t="shared" si="7"/>
        <v>11.187007758983407</v>
      </c>
      <c r="Y34" s="227">
        <f t="shared" si="7"/>
        <v>11.464964666312007</v>
      </c>
      <c r="Z34" s="227">
        <f t="shared" si="7"/>
        <v>11.742921573640606</v>
      </c>
      <c r="AA34" s="227">
        <f t="shared" si="7"/>
        <v>12.020878480969206</v>
      </c>
      <c r="AB34" s="227">
        <f t="shared" si="7"/>
        <v>12.298835388297809</v>
      </c>
      <c r="AC34" s="227">
        <f t="shared" si="7"/>
        <v>12.597898746374955</v>
      </c>
      <c r="AD34" s="227">
        <f t="shared" si="7"/>
        <v>12.896962104452101</v>
      </c>
      <c r="AE34" s="227">
        <f t="shared" si="7"/>
        <v>13.196025462529246</v>
      </c>
      <c r="AF34" s="227">
        <f t="shared" si="7"/>
        <v>13.495088820606391</v>
      </c>
      <c r="AG34" s="227">
        <f t="shared" si="7"/>
        <v>13.794152178683538</v>
      </c>
      <c r="AH34" s="227">
        <f t="shared" si="7"/>
        <v>14.129014123647183</v>
      </c>
      <c r="AI34" s="227">
        <f t="shared" si="7"/>
        <v>14.463876068610828</v>
      </c>
      <c r="AJ34" s="227">
        <f t="shared" si="7"/>
        <v>14.798738013574473</v>
      </c>
      <c r="AK34" s="227">
        <f t="shared" si="7"/>
        <v>15.133599958538118</v>
      </c>
      <c r="AL34" s="227">
        <f t="shared" si="7"/>
        <v>15.468461903501762</v>
      </c>
      <c r="AM34" s="227">
        <f t="shared" si="7"/>
        <v>17.199996335361426</v>
      </c>
      <c r="AN34" s="227">
        <f t="shared" si="7"/>
        <v>19.0109738094304</v>
      </c>
      <c r="AO34" s="227">
        <f t="shared" si="7"/>
        <v>22.540245208324137</v>
      </c>
      <c r="AP34" s="227">
        <f t="shared" ref="AP34" si="9">AO34*AP18/AO18</f>
        <v>26.082757114252786</v>
      </c>
    </row>
    <row r="35" spans="1:42">
      <c r="A35" s="61" t="str">
        <f t="shared" si="8"/>
        <v>*</v>
      </c>
      <c r="B35" s="22" t="s">
        <v>295</v>
      </c>
      <c r="C35" s="23" t="s">
        <v>138</v>
      </c>
      <c r="D35" s="61">
        <f t="shared" si="6"/>
        <v>0</v>
      </c>
      <c r="E35" s="23" t="s">
        <v>138</v>
      </c>
      <c r="F35" s="23" t="s">
        <v>138</v>
      </c>
      <c r="G35" s="23" t="s">
        <v>138</v>
      </c>
      <c r="H35" s="23" t="s">
        <v>138</v>
      </c>
      <c r="I35" s="22">
        <v>0</v>
      </c>
      <c r="J35" s="131">
        <v>0</v>
      </c>
      <c r="K35" s="227">
        <f t="shared" ref="K35:AP37" si="10">J35*K19/J19</f>
        <v>0</v>
      </c>
      <c r="L35" s="227">
        <f t="shared" si="10"/>
        <v>0</v>
      </c>
      <c r="M35" s="227">
        <f t="shared" si="10"/>
        <v>0</v>
      </c>
      <c r="N35" s="227">
        <f t="shared" si="10"/>
        <v>0</v>
      </c>
      <c r="O35" s="227">
        <f t="shared" si="10"/>
        <v>0</v>
      </c>
      <c r="P35" s="227">
        <f t="shared" si="10"/>
        <v>0</v>
      </c>
      <c r="Q35" s="227">
        <f t="shared" si="10"/>
        <v>0</v>
      </c>
      <c r="R35" s="227">
        <f t="shared" si="10"/>
        <v>0</v>
      </c>
      <c r="S35" s="227">
        <f t="shared" si="10"/>
        <v>0</v>
      </c>
      <c r="T35" s="227">
        <f t="shared" si="10"/>
        <v>0</v>
      </c>
      <c r="U35" s="227">
        <f t="shared" si="10"/>
        <v>0</v>
      </c>
      <c r="V35" s="227">
        <f t="shared" si="10"/>
        <v>0</v>
      </c>
      <c r="W35" s="227">
        <f t="shared" si="10"/>
        <v>0</v>
      </c>
      <c r="X35" s="227">
        <f t="shared" si="10"/>
        <v>0</v>
      </c>
      <c r="Y35" s="227">
        <f t="shared" si="10"/>
        <v>0</v>
      </c>
      <c r="Z35" s="227">
        <f t="shared" si="10"/>
        <v>0</v>
      </c>
      <c r="AA35" s="227">
        <f t="shared" si="10"/>
        <v>0</v>
      </c>
      <c r="AB35" s="227">
        <f t="shared" si="10"/>
        <v>0</v>
      </c>
      <c r="AC35" s="227">
        <f t="shared" si="10"/>
        <v>0</v>
      </c>
      <c r="AD35" s="227">
        <f t="shared" si="10"/>
        <v>0</v>
      </c>
      <c r="AE35" s="227">
        <f t="shared" si="10"/>
        <v>0</v>
      </c>
      <c r="AF35" s="227">
        <f t="shared" si="10"/>
        <v>0</v>
      </c>
      <c r="AG35" s="227">
        <f t="shared" si="10"/>
        <v>0</v>
      </c>
      <c r="AH35" s="227">
        <f t="shared" si="10"/>
        <v>0</v>
      </c>
      <c r="AI35" s="227">
        <f t="shared" si="10"/>
        <v>0</v>
      </c>
      <c r="AJ35" s="227">
        <f t="shared" si="10"/>
        <v>0</v>
      </c>
      <c r="AK35" s="227">
        <f t="shared" si="10"/>
        <v>0</v>
      </c>
      <c r="AL35" s="227">
        <f t="shared" si="10"/>
        <v>0</v>
      </c>
      <c r="AM35" s="227">
        <f t="shared" si="10"/>
        <v>0</v>
      </c>
      <c r="AN35" s="227">
        <f t="shared" si="10"/>
        <v>0</v>
      </c>
      <c r="AO35" s="227">
        <f t="shared" si="10"/>
        <v>0</v>
      </c>
      <c r="AP35" s="227">
        <f t="shared" si="10"/>
        <v>0</v>
      </c>
    </row>
    <row r="36" spans="1:42">
      <c r="A36" s="61" t="str">
        <f t="shared" si="8"/>
        <v/>
      </c>
      <c r="B36" s="22" t="s">
        <v>295</v>
      </c>
      <c r="C36" s="23" t="s">
        <v>138</v>
      </c>
      <c r="D36" s="61" t="str">
        <f t="shared" si="6"/>
        <v>IPPPAP</v>
      </c>
      <c r="E36" s="23" t="s">
        <v>138</v>
      </c>
      <c r="F36" s="23" t="s">
        <v>138</v>
      </c>
      <c r="G36" s="23" t="s">
        <v>138</v>
      </c>
      <c r="H36" s="23" t="s">
        <v>138</v>
      </c>
      <c r="I36" s="22">
        <v>0</v>
      </c>
      <c r="J36" s="165">
        <f>'[5]PP-TSData'!J29</f>
        <v>2.0533000000000001</v>
      </c>
      <c r="K36" s="165">
        <f>'[5]PP-TSData'!K29</f>
        <v>2.0786519999999999</v>
      </c>
      <c r="L36" s="165">
        <f>'[5]PP-TSData'!L29</f>
        <v>2.1040039999999998</v>
      </c>
      <c r="M36" s="165">
        <f>'[5]PP-TSData'!M29</f>
        <v>2.1293559999999996</v>
      </c>
      <c r="N36" s="165">
        <f>'[5]PP-TSData'!N29</f>
        <v>2.1547079999999994</v>
      </c>
      <c r="O36" s="165">
        <f>'[5]PP-TSData'!O29</f>
        <v>2.1800600000000001</v>
      </c>
      <c r="P36" s="227">
        <f t="shared" si="10"/>
        <v>2.2031273196208052</v>
      </c>
      <c r="Q36" s="227">
        <f t="shared" si="10"/>
        <v>2.2261946392416099</v>
      </c>
      <c r="R36" s="227">
        <f t="shared" si="10"/>
        <v>2.2492619588624141</v>
      </c>
      <c r="S36" s="227">
        <f t="shared" si="10"/>
        <v>2.2968474910230667</v>
      </c>
      <c r="T36" s="227">
        <f t="shared" si="10"/>
        <v>2.3444330231837194</v>
      </c>
      <c r="U36" s="227">
        <f t="shared" si="10"/>
        <v>2.392018555344372</v>
      </c>
      <c r="V36" s="227">
        <f t="shared" si="10"/>
        <v>2.4396040875050247</v>
      </c>
      <c r="W36" s="227">
        <f t="shared" si="10"/>
        <v>2.4871896196656764</v>
      </c>
      <c r="X36" s="227">
        <f t="shared" si="10"/>
        <v>2.5479043710009499</v>
      </c>
      <c r="Y36" s="227">
        <f t="shared" si="10"/>
        <v>2.6086191223362234</v>
      </c>
      <c r="Z36" s="227">
        <f t="shared" si="10"/>
        <v>2.6693338736714964</v>
      </c>
      <c r="AA36" s="227">
        <f t="shared" si="10"/>
        <v>2.7300486250067695</v>
      </c>
      <c r="AB36" s="227">
        <f t="shared" si="10"/>
        <v>2.7907633763420425</v>
      </c>
      <c r="AC36" s="227">
        <f t="shared" si="10"/>
        <v>2.8477959369399342</v>
      </c>
      <c r="AD36" s="227">
        <f t="shared" si="10"/>
        <v>2.9048284975378253</v>
      </c>
      <c r="AE36" s="227">
        <f t="shared" si="10"/>
        <v>2.9618610581357165</v>
      </c>
      <c r="AF36" s="227">
        <f t="shared" si="10"/>
        <v>3.0188936187336077</v>
      </c>
      <c r="AG36" s="227">
        <f t="shared" si="10"/>
        <v>3.0759261793314985</v>
      </c>
      <c r="AH36" s="227">
        <f t="shared" si="10"/>
        <v>3.1454548601243193</v>
      </c>
      <c r="AI36" s="227">
        <f t="shared" si="10"/>
        <v>3.2149835409171401</v>
      </c>
      <c r="AJ36" s="227">
        <f t="shared" si="10"/>
        <v>3.2845122217099609</v>
      </c>
      <c r="AK36" s="227">
        <f t="shared" si="10"/>
        <v>3.3540409025027818</v>
      </c>
      <c r="AL36" s="227">
        <f t="shared" si="10"/>
        <v>3.423569583295603</v>
      </c>
      <c r="AM36" s="227">
        <f t="shared" si="10"/>
        <v>3.7613969935111329</v>
      </c>
      <c r="AN36" s="227">
        <f t="shared" si="10"/>
        <v>4.1177349820115055</v>
      </c>
      <c r="AO36" s="227">
        <f t="shared" si="10"/>
        <v>4.8088152843466094</v>
      </c>
      <c r="AP36" s="227">
        <f t="shared" si="10"/>
        <v>5.5029806830625052</v>
      </c>
    </row>
    <row r="37" spans="1:42">
      <c r="A37" s="61" t="str">
        <f t="shared" si="8"/>
        <v/>
      </c>
      <c r="B37" s="22" t="s">
        <v>295</v>
      </c>
      <c r="C37" s="23" t="s">
        <v>138</v>
      </c>
      <c r="D37" s="61" t="str">
        <f t="shared" si="6"/>
        <v>IPPPULPD</v>
      </c>
      <c r="E37" s="23" t="s">
        <v>138</v>
      </c>
      <c r="F37" s="23" t="s">
        <v>138</v>
      </c>
      <c r="G37" s="23" t="s">
        <v>138</v>
      </c>
      <c r="H37" s="23" t="s">
        <v>138</v>
      </c>
      <c r="I37" s="22">
        <v>0</v>
      </c>
      <c r="J37" s="165">
        <f>'[5]PP-TSData'!J28</f>
        <v>0.73711514499999997</v>
      </c>
      <c r="K37" s="165">
        <f>'[5]PP-TSData'!K28</f>
        <v>0.73711514499999997</v>
      </c>
      <c r="L37" s="165">
        <f>'[5]PP-TSData'!L28</f>
        <v>0.73711514499999997</v>
      </c>
      <c r="M37" s="165">
        <f>'[5]PP-TSData'!M28</f>
        <v>0.73711514499999997</v>
      </c>
      <c r="N37" s="165">
        <f>'[5]PP-TSData'!N28</f>
        <v>0.7</v>
      </c>
      <c r="O37" s="165">
        <f>'[5]PP-TSData'!O28</f>
        <v>0.65910719806663931</v>
      </c>
      <c r="P37" s="227">
        <f t="shared" si="10"/>
        <v>0.66608124300218063</v>
      </c>
      <c r="Q37" s="227">
        <f t="shared" si="10"/>
        <v>0.67305528793772196</v>
      </c>
      <c r="R37" s="227">
        <f t="shared" si="10"/>
        <v>0.68002933287326317</v>
      </c>
      <c r="S37" s="227">
        <f t="shared" si="10"/>
        <v>0.69441607762841562</v>
      </c>
      <c r="T37" s="227">
        <f t="shared" si="10"/>
        <v>0.70880282238356807</v>
      </c>
      <c r="U37" s="227">
        <f t="shared" si="10"/>
        <v>0.7231895671387204</v>
      </c>
      <c r="V37" s="227">
        <f t="shared" si="10"/>
        <v>0.73757631189387274</v>
      </c>
      <c r="W37" s="227">
        <f t="shared" si="10"/>
        <v>0.75196305664902496</v>
      </c>
      <c r="X37" s="227">
        <f t="shared" si="10"/>
        <v>0.77031921640329992</v>
      </c>
      <c r="Y37" s="227">
        <f t="shared" si="10"/>
        <v>0.78867537615757488</v>
      </c>
      <c r="Z37" s="227">
        <f t="shared" si="10"/>
        <v>0.80703153591184984</v>
      </c>
      <c r="AA37" s="227">
        <f t="shared" si="10"/>
        <v>0.8253876956661248</v>
      </c>
      <c r="AB37" s="227">
        <f t="shared" si="10"/>
        <v>0.84374385542039965</v>
      </c>
      <c r="AC37" s="227">
        <f t="shared" si="10"/>
        <v>0.86098676213592218</v>
      </c>
      <c r="AD37" s="227">
        <f t="shared" si="10"/>
        <v>0.8782296688514446</v>
      </c>
      <c r="AE37" s="227">
        <f t="shared" si="10"/>
        <v>0.89547257556696713</v>
      </c>
      <c r="AF37" s="227">
        <f t="shared" si="10"/>
        <v>0.91271548228248955</v>
      </c>
      <c r="AG37" s="227">
        <f t="shared" si="10"/>
        <v>0.92995838899801186</v>
      </c>
      <c r="AH37" s="227">
        <f t="shared" si="10"/>
        <v>0.95097930309332379</v>
      </c>
      <c r="AI37" s="227">
        <f t="shared" si="10"/>
        <v>0.97200021718863572</v>
      </c>
      <c r="AJ37" s="227">
        <f t="shared" si="10"/>
        <v>0.99302113128394764</v>
      </c>
      <c r="AK37" s="227">
        <f t="shared" si="10"/>
        <v>1.0140420453792596</v>
      </c>
      <c r="AL37" s="227">
        <f t="shared" si="10"/>
        <v>1.0350629594745717</v>
      </c>
      <c r="AM37" s="227">
        <f t="shared" si="10"/>
        <v>1.1371998170735678</v>
      </c>
      <c r="AN37" s="227">
        <f t="shared" si="10"/>
        <v>1.2449330598123833</v>
      </c>
      <c r="AO37" s="227">
        <f t="shared" si="10"/>
        <v>1.4538704292935607</v>
      </c>
      <c r="AP37" s="227">
        <f t="shared" si="10"/>
        <v>1.6637405296313703</v>
      </c>
    </row>
    <row r="38" spans="1:42">
      <c r="A38" s="61" t="str">
        <f t="shared" si="8"/>
        <v>*</v>
      </c>
      <c r="B38" s="22" t="s">
        <v>295</v>
      </c>
      <c r="C38" s="23" t="s">
        <v>138</v>
      </c>
      <c r="D38" s="61">
        <f t="shared" si="6"/>
        <v>0</v>
      </c>
      <c r="E38" s="23" t="s">
        <v>138</v>
      </c>
      <c r="F38" s="23" t="s">
        <v>138</v>
      </c>
      <c r="G38" s="23" t="s">
        <v>138</v>
      </c>
      <c r="H38" s="23" t="s">
        <v>138</v>
      </c>
      <c r="I38" s="22">
        <v>0</v>
      </c>
      <c r="J38" s="131">
        <v>0</v>
      </c>
      <c r="K38" s="227">
        <f t="shared" ref="K38:AP38" si="11">J38*K22/J22</f>
        <v>0</v>
      </c>
      <c r="L38" s="227">
        <f t="shared" si="11"/>
        <v>0</v>
      </c>
      <c r="M38" s="227">
        <f t="shared" si="11"/>
        <v>0</v>
      </c>
      <c r="N38" s="227">
        <f t="shared" si="11"/>
        <v>0</v>
      </c>
      <c r="O38" s="227">
        <f t="shared" si="11"/>
        <v>0</v>
      </c>
      <c r="P38" s="227">
        <f t="shared" si="11"/>
        <v>0</v>
      </c>
      <c r="Q38" s="227">
        <f t="shared" si="11"/>
        <v>0</v>
      </c>
      <c r="R38" s="227">
        <f t="shared" si="11"/>
        <v>0</v>
      </c>
      <c r="S38" s="227">
        <f t="shared" si="11"/>
        <v>0</v>
      </c>
      <c r="T38" s="227">
        <f t="shared" si="11"/>
        <v>0</v>
      </c>
      <c r="U38" s="227">
        <f t="shared" si="11"/>
        <v>0</v>
      </c>
      <c r="V38" s="227">
        <f t="shared" si="11"/>
        <v>0</v>
      </c>
      <c r="W38" s="227">
        <f t="shared" si="11"/>
        <v>0</v>
      </c>
      <c r="X38" s="227">
        <f t="shared" si="11"/>
        <v>0</v>
      </c>
      <c r="Y38" s="227">
        <f t="shared" si="11"/>
        <v>0</v>
      </c>
      <c r="Z38" s="227">
        <f t="shared" si="11"/>
        <v>0</v>
      </c>
      <c r="AA38" s="227">
        <f t="shared" si="11"/>
        <v>0</v>
      </c>
      <c r="AB38" s="227">
        <f t="shared" si="11"/>
        <v>0</v>
      </c>
      <c r="AC38" s="227">
        <f t="shared" si="11"/>
        <v>0</v>
      </c>
      <c r="AD38" s="227">
        <f t="shared" si="11"/>
        <v>0</v>
      </c>
      <c r="AE38" s="227">
        <f t="shared" si="11"/>
        <v>0</v>
      </c>
      <c r="AF38" s="227">
        <f t="shared" si="11"/>
        <v>0</v>
      </c>
      <c r="AG38" s="227">
        <f t="shared" si="11"/>
        <v>0</v>
      </c>
      <c r="AH38" s="227">
        <f t="shared" si="11"/>
        <v>0</v>
      </c>
      <c r="AI38" s="227">
        <f t="shared" si="11"/>
        <v>0</v>
      </c>
      <c r="AJ38" s="227">
        <f t="shared" si="11"/>
        <v>0</v>
      </c>
      <c r="AK38" s="227">
        <f t="shared" si="11"/>
        <v>0</v>
      </c>
      <c r="AL38" s="227">
        <f t="shared" si="11"/>
        <v>0</v>
      </c>
      <c r="AM38" s="227">
        <f t="shared" si="11"/>
        <v>0</v>
      </c>
      <c r="AN38" s="227">
        <f t="shared" si="11"/>
        <v>0</v>
      </c>
      <c r="AO38" s="227">
        <f t="shared" si="11"/>
        <v>0</v>
      </c>
      <c r="AP38" s="227">
        <f t="shared" si="11"/>
        <v>0</v>
      </c>
    </row>
    <row r="39" spans="1:42">
      <c r="A39" s="227" t="s">
        <v>17</v>
      </c>
      <c r="B39" s="228"/>
    </row>
    <row r="40" spans="1:42" ht="15" thickBot="1">
      <c r="A40" s="227" t="s">
        <v>17</v>
      </c>
      <c r="B40" s="14" t="s">
        <v>297</v>
      </c>
      <c r="C40" s="14"/>
      <c r="D40" s="227">
        <v>2010</v>
      </c>
      <c r="E40" s="227">
        <v>2020</v>
      </c>
      <c r="F40" s="227">
        <v>2030</v>
      </c>
      <c r="G40" s="227">
        <v>2050</v>
      </c>
    </row>
    <row r="41" spans="1:42">
      <c r="A41" s="227" t="s">
        <v>17</v>
      </c>
      <c r="B41" s="228" t="str">
        <f t="shared" ref="B41:C52" si="12">B10</f>
        <v>MI</v>
      </c>
      <c r="C41" s="228" t="str">
        <f t="shared" si="12"/>
        <v>Mining</v>
      </c>
      <c r="D41" s="227">
        <v>1</v>
      </c>
      <c r="E41" s="227">
        <v>1.0220604419830652</v>
      </c>
      <c r="F41" s="227">
        <v>1.0684529596700734</v>
      </c>
      <c r="G41" s="227">
        <f>F41</f>
        <v>1.0684529596700734</v>
      </c>
      <c r="J41" s="227">
        <f>IF(J$7=-1,K41,IF(J$7=99,I41,IF(J$7=0,INDEX($D41:$G41,0,J$5),(INDEX($D41:$G41,0,J$7+1)-INDEX($D41:$G41,0,J$7))/(INDEX($D$4:$G$4,0,J$7+1)-INDEX($D$4:$G$4,0,J$7))+I41)))</f>
        <v>1</v>
      </c>
      <c r="K41" s="227">
        <f t="shared" ref="K41:Z42" si="13">IF(K$7=-1,L41,IF(K$7=99,J41,IF(K$7=0,INDEX($D41:$G41,0,K$5),(INDEX($D41:$G41,0,K$7+1)-INDEX($D41:$G41,0,K$7))/(INDEX($D$4:$G$4,0,K$7+1)-INDEX($D$4:$G$4,0,K$7))+J41)))</f>
        <v>1.0027575552478831</v>
      </c>
      <c r="L41" s="227">
        <f t="shared" si="13"/>
        <v>1.0055151104957663</v>
      </c>
      <c r="M41" s="227">
        <f t="shared" si="13"/>
        <v>1.0082726657436494</v>
      </c>
      <c r="N41" s="227">
        <f t="shared" si="13"/>
        <v>1.0110302209915325</v>
      </c>
      <c r="O41" s="227">
        <f t="shared" si="13"/>
        <v>1.0137877762394156</v>
      </c>
      <c r="P41" s="227">
        <f t="shared" si="13"/>
        <v>1.0165453314872988</v>
      </c>
      <c r="Q41" s="227">
        <f t="shared" si="13"/>
        <v>1.0193028867351819</v>
      </c>
      <c r="R41" s="227">
        <f t="shared" si="13"/>
        <v>1.0220604419830652</v>
      </c>
      <c r="S41" s="227">
        <f t="shared" si="13"/>
        <v>1.0266996937517661</v>
      </c>
      <c r="T41" s="227">
        <f t="shared" si="13"/>
        <v>1.0313389455204669</v>
      </c>
      <c r="U41" s="227">
        <f t="shared" si="13"/>
        <v>1.0359781972891677</v>
      </c>
      <c r="V41" s="227">
        <f t="shared" si="13"/>
        <v>1.0406174490578686</v>
      </c>
      <c r="W41" s="227">
        <f t="shared" si="13"/>
        <v>1.0452567008265694</v>
      </c>
      <c r="X41" s="227">
        <f t="shared" si="13"/>
        <v>1.0498959525952702</v>
      </c>
      <c r="Y41" s="227">
        <f t="shared" si="13"/>
        <v>1.0545352043639711</v>
      </c>
      <c r="Z41" s="227">
        <f t="shared" si="13"/>
        <v>1.0591744561326719</v>
      </c>
      <c r="AA41" s="227">
        <f t="shared" ref="AA41:AP42" si="14">IF(AA$7=-1,AB41,IF(AA$7=99,Z41,IF(AA$7=0,INDEX($D41:$G41,0,AA$5),(INDEX($D41:$G41,0,AA$7+1)-INDEX($D41:$G41,0,AA$7))/(INDEX($D$4:$G$4,0,AA$7+1)-INDEX($D$4:$G$4,0,AA$7))+Z41)))</f>
        <v>1.0638137079013728</v>
      </c>
      <c r="AB41" s="227">
        <f t="shared" si="14"/>
        <v>1.0684529596700734</v>
      </c>
      <c r="AC41" s="227">
        <f t="shared" si="14"/>
        <v>1.0684529596700734</v>
      </c>
      <c r="AD41" s="227">
        <f t="shared" si="14"/>
        <v>1.0684529596700734</v>
      </c>
      <c r="AE41" s="227">
        <f t="shared" si="14"/>
        <v>1.0684529596700734</v>
      </c>
      <c r="AF41" s="227">
        <f t="shared" si="14"/>
        <v>1.0684529596700734</v>
      </c>
      <c r="AG41" s="227">
        <f t="shared" si="14"/>
        <v>1.0684529596700734</v>
      </c>
      <c r="AH41" s="227">
        <f t="shared" si="14"/>
        <v>1.0684529596700734</v>
      </c>
      <c r="AI41" s="227">
        <f t="shared" si="14"/>
        <v>1.0684529596700734</v>
      </c>
      <c r="AJ41" s="227">
        <f t="shared" si="14"/>
        <v>1.0684529596700734</v>
      </c>
      <c r="AK41" s="227">
        <f t="shared" si="14"/>
        <v>1.0684529596700734</v>
      </c>
      <c r="AL41" s="227">
        <f t="shared" si="14"/>
        <v>1.0684529596700734</v>
      </c>
      <c r="AM41" s="227">
        <f t="shared" si="14"/>
        <v>1.0684529596700734</v>
      </c>
      <c r="AN41" s="227">
        <f t="shared" si="14"/>
        <v>1.0684529596700734</v>
      </c>
      <c r="AO41" s="227">
        <f t="shared" si="14"/>
        <v>1.0684529596700734</v>
      </c>
      <c r="AP41" s="227">
        <f t="shared" si="14"/>
        <v>1.0684529596700734</v>
      </c>
    </row>
    <row r="42" spans="1:42">
      <c r="A42" s="227" t="s">
        <v>17</v>
      </c>
      <c r="B42" s="228" t="str">
        <f t="shared" si="12"/>
        <v>FA</v>
      </c>
      <c r="C42" s="228" t="str">
        <f t="shared" si="12"/>
        <v>Ferro Alloys</v>
      </c>
      <c r="D42" s="227">
        <v>1</v>
      </c>
      <c r="E42" s="227">
        <v>1</v>
      </c>
      <c r="F42" s="227">
        <v>1</v>
      </c>
      <c r="G42" s="227">
        <v>1</v>
      </c>
      <c r="J42" s="227">
        <f>IF(J$7=-1,K42,IF(J$7=99,I42,IF(J$7=0,INDEX($D42:$G42,0,J$5),(INDEX($D42:$G42,0,J$7+1)-INDEX($D42:$G42,0,J$7))/(INDEX($D$4:$G$4,0,J$7+1)-INDEX($D$4:$G$4,0,J$7))+I42)))</f>
        <v>1</v>
      </c>
      <c r="K42" s="227">
        <f t="shared" si="13"/>
        <v>1</v>
      </c>
      <c r="L42" s="227">
        <f t="shared" si="13"/>
        <v>1</v>
      </c>
      <c r="M42" s="227">
        <f t="shared" si="13"/>
        <v>1</v>
      </c>
      <c r="N42" s="227">
        <f t="shared" si="13"/>
        <v>1</v>
      </c>
      <c r="O42" s="227">
        <f t="shared" si="13"/>
        <v>1</v>
      </c>
      <c r="P42" s="227">
        <f t="shared" si="13"/>
        <v>1</v>
      </c>
      <c r="Q42" s="227">
        <f t="shared" si="13"/>
        <v>1</v>
      </c>
      <c r="R42" s="227">
        <f t="shared" si="13"/>
        <v>1</v>
      </c>
      <c r="S42" s="227">
        <f t="shared" si="13"/>
        <v>1</v>
      </c>
      <c r="T42" s="227">
        <f t="shared" si="13"/>
        <v>1</v>
      </c>
      <c r="U42" s="227">
        <f t="shared" si="13"/>
        <v>1</v>
      </c>
      <c r="V42" s="227">
        <f t="shared" si="13"/>
        <v>1</v>
      </c>
      <c r="W42" s="227">
        <f t="shared" si="13"/>
        <v>1</v>
      </c>
      <c r="X42" s="227">
        <f t="shared" si="13"/>
        <v>1</v>
      </c>
      <c r="Y42" s="227">
        <f t="shared" si="13"/>
        <v>1</v>
      </c>
      <c r="Z42" s="227">
        <f t="shared" si="13"/>
        <v>1</v>
      </c>
      <c r="AA42" s="227">
        <f t="shared" si="14"/>
        <v>1</v>
      </c>
      <c r="AB42" s="227">
        <f t="shared" si="14"/>
        <v>1</v>
      </c>
      <c r="AC42" s="227">
        <f t="shared" si="14"/>
        <v>1</v>
      </c>
      <c r="AD42" s="227">
        <f t="shared" si="14"/>
        <v>1</v>
      </c>
      <c r="AE42" s="227">
        <f t="shared" si="14"/>
        <v>1</v>
      </c>
      <c r="AF42" s="227">
        <f t="shared" si="14"/>
        <v>1</v>
      </c>
      <c r="AG42" s="227">
        <f t="shared" si="14"/>
        <v>1</v>
      </c>
      <c r="AH42" s="227">
        <f t="shared" si="14"/>
        <v>1</v>
      </c>
      <c r="AI42" s="227">
        <f t="shared" si="14"/>
        <v>1</v>
      </c>
      <c r="AJ42" s="227">
        <f t="shared" si="14"/>
        <v>1</v>
      </c>
      <c r="AK42" s="227">
        <f t="shared" si="14"/>
        <v>1</v>
      </c>
      <c r="AL42" s="227">
        <f t="shared" si="14"/>
        <v>1</v>
      </c>
      <c r="AM42" s="227">
        <f t="shared" si="14"/>
        <v>1</v>
      </c>
      <c r="AN42" s="227">
        <f t="shared" si="14"/>
        <v>1</v>
      </c>
      <c r="AO42" s="227">
        <f t="shared" si="14"/>
        <v>1</v>
      </c>
      <c r="AP42" s="227">
        <f t="shared" si="14"/>
        <v>1</v>
      </c>
    </row>
    <row r="43" spans="1:42">
      <c r="A43" s="227" t="s">
        <v>17</v>
      </c>
      <c r="B43" s="228" t="str">
        <f t="shared" si="12"/>
        <v>IS</v>
      </c>
      <c r="C43" s="228" t="str">
        <f t="shared" si="12"/>
        <v>Iron &amp; Steel</v>
      </c>
      <c r="D43" s="227">
        <v>1</v>
      </c>
      <c r="E43" s="227">
        <v>1</v>
      </c>
      <c r="F43" s="227">
        <v>1</v>
      </c>
      <c r="G43" s="227">
        <v>1</v>
      </c>
      <c r="J43" s="227">
        <f t="shared" ref="J43:AP48" si="15">IF(J$7=-1,K43,IF(J$7=99,I43,IF(J$7=0,INDEX($D43:$G43,0,J$5),(INDEX($D43:$G43,0,J$7+1)-INDEX($D43:$G43,0,J$7))/(INDEX($D$4:$G$4,0,J$7+1)-INDEX($D$4:$G$4,0,J$7))+I43)))</f>
        <v>1</v>
      </c>
      <c r="K43" s="227">
        <f t="shared" si="15"/>
        <v>1</v>
      </c>
      <c r="L43" s="227">
        <f t="shared" si="15"/>
        <v>1</v>
      </c>
      <c r="M43" s="227">
        <f t="shared" si="15"/>
        <v>1</v>
      </c>
      <c r="N43" s="227">
        <f t="shared" si="15"/>
        <v>1</v>
      </c>
      <c r="O43" s="227">
        <f t="shared" si="15"/>
        <v>1</v>
      </c>
      <c r="P43" s="227">
        <f t="shared" si="15"/>
        <v>1</v>
      </c>
      <c r="Q43" s="227">
        <f t="shared" si="15"/>
        <v>1</v>
      </c>
      <c r="R43" s="227">
        <f t="shared" si="15"/>
        <v>1</v>
      </c>
      <c r="S43" s="227">
        <f t="shared" si="15"/>
        <v>1</v>
      </c>
      <c r="T43" s="227">
        <f t="shared" si="15"/>
        <v>1</v>
      </c>
      <c r="U43" s="227">
        <f t="shared" si="15"/>
        <v>1</v>
      </c>
      <c r="V43" s="227">
        <f t="shared" si="15"/>
        <v>1</v>
      </c>
      <c r="W43" s="227">
        <f t="shared" si="15"/>
        <v>1</v>
      </c>
      <c r="X43" s="227">
        <f t="shared" si="15"/>
        <v>1</v>
      </c>
      <c r="Y43" s="227">
        <f t="shared" si="15"/>
        <v>1</v>
      </c>
      <c r="Z43" s="227">
        <f t="shared" si="15"/>
        <v>1</v>
      </c>
      <c r="AA43" s="227">
        <f t="shared" si="15"/>
        <v>1</v>
      </c>
      <c r="AB43" s="227">
        <f t="shared" si="15"/>
        <v>1</v>
      </c>
      <c r="AC43" s="227">
        <f t="shared" si="15"/>
        <v>1</v>
      </c>
      <c r="AD43" s="227">
        <f t="shared" si="15"/>
        <v>1</v>
      </c>
      <c r="AE43" s="227">
        <f t="shared" si="15"/>
        <v>1</v>
      </c>
      <c r="AF43" s="227">
        <f t="shared" si="15"/>
        <v>1</v>
      </c>
      <c r="AG43" s="227">
        <f t="shared" si="15"/>
        <v>1</v>
      </c>
      <c r="AH43" s="227">
        <f t="shared" si="15"/>
        <v>1</v>
      </c>
      <c r="AI43" s="227">
        <f t="shared" si="15"/>
        <v>1</v>
      </c>
      <c r="AJ43" s="227">
        <f t="shared" si="15"/>
        <v>1</v>
      </c>
      <c r="AK43" s="227">
        <f t="shared" si="15"/>
        <v>1</v>
      </c>
      <c r="AL43" s="227">
        <f t="shared" si="15"/>
        <v>1</v>
      </c>
      <c r="AM43" s="227">
        <f t="shared" si="15"/>
        <v>1</v>
      </c>
      <c r="AN43" s="227">
        <f t="shared" si="15"/>
        <v>1</v>
      </c>
      <c r="AO43" s="227">
        <f t="shared" si="15"/>
        <v>1</v>
      </c>
      <c r="AP43" s="227">
        <f t="shared" si="15"/>
        <v>1</v>
      </c>
    </row>
    <row r="44" spans="1:42">
      <c r="A44" s="227" t="s">
        <v>17</v>
      </c>
      <c r="B44" s="228" t="str">
        <f t="shared" si="12"/>
        <v>CP</v>
      </c>
      <c r="C44" s="228" t="str">
        <f t="shared" si="12"/>
        <v>Chemicals</v>
      </c>
      <c r="D44" s="227">
        <v>1</v>
      </c>
      <c r="E44" s="227">
        <v>1</v>
      </c>
      <c r="F44" s="227">
        <v>1</v>
      </c>
      <c r="G44" s="227">
        <v>1</v>
      </c>
      <c r="J44" s="227">
        <f t="shared" si="15"/>
        <v>1</v>
      </c>
      <c r="K44" s="227">
        <f t="shared" si="15"/>
        <v>1</v>
      </c>
      <c r="L44" s="227">
        <f t="shared" si="15"/>
        <v>1</v>
      </c>
      <c r="M44" s="227">
        <f t="shared" si="15"/>
        <v>1</v>
      </c>
      <c r="N44" s="227">
        <f t="shared" si="15"/>
        <v>1</v>
      </c>
      <c r="O44" s="227">
        <f t="shared" si="15"/>
        <v>1</v>
      </c>
      <c r="P44" s="227">
        <f t="shared" si="15"/>
        <v>1</v>
      </c>
      <c r="Q44" s="227">
        <f t="shared" si="15"/>
        <v>1</v>
      </c>
      <c r="R44" s="227">
        <f t="shared" si="15"/>
        <v>1</v>
      </c>
      <c r="S44" s="227">
        <f t="shared" si="15"/>
        <v>1</v>
      </c>
      <c r="T44" s="227">
        <f t="shared" si="15"/>
        <v>1</v>
      </c>
      <c r="U44" s="227">
        <f t="shared" si="15"/>
        <v>1</v>
      </c>
      <c r="V44" s="227">
        <f t="shared" si="15"/>
        <v>1</v>
      </c>
      <c r="W44" s="227">
        <f t="shared" si="15"/>
        <v>1</v>
      </c>
      <c r="X44" s="227">
        <f t="shared" si="15"/>
        <v>1</v>
      </c>
      <c r="Y44" s="227">
        <f t="shared" si="15"/>
        <v>1</v>
      </c>
      <c r="Z44" s="227">
        <f t="shared" si="15"/>
        <v>1</v>
      </c>
      <c r="AA44" s="227">
        <f t="shared" si="15"/>
        <v>1</v>
      </c>
      <c r="AB44" s="227">
        <f t="shared" si="15"/>
        <v>1</v>
      </c>
      <c r="AC44" s="227">
        <f t="shared" si="15"/>
        <v>1</v>
      </c>
      <c r="AD44" s="227">
        <f t="shared" si="15"/>
        <v>1</v>
      </c>
      <c r="AE44" s="227">
        <f t="shared" si="15"/>
        <v>1</v>
      </c>
      <c r="AF44" s="227">
        <f t="shared" si="15"/>
        <v>1</v>
      </c>
      <c r="AG44" s="227">
        <f t="shared" si="15"/>
        <v>1</v>
      </c>
      <c r="AH44" s="227">
        <f t="shared" si="15"/>
        <v>1</v>
      </c>
      <c r="AI44" s="227">
        <f t="shared" si="15"/>
        <v>1</v>
      </c>
      <c r="AJ44" s="227">
        <f t="shared" si="15"/>
        <v>1</v>
      </c>
      <c r="AK44" s="227">
        <f t="shared" si="15"/>
        <v>1</v>
      </c>
      <c r="AL44" s="227">
        <f t="shared" si="15"/>
        <v>1</v>
      </c>
      <c r="AM44" s="227">
        <f t="shared" si="15"/>
        <v>1</v>
      </c>
      <c r="AN44" s="227">
        <f t="shared" si="15"/>
        <v>1</v>
      </c>
      <c r="AO44" s="227">
        <f t="shared" si="15"/>
        <v>1</v>
      </c>
      <c r="AP44" s="227">
        <f t="shared" si="15"/>
        <v>1</v>
      </c>
    </row>
    <row r="45" spans="1:42">
      <c r="A45" s="227" t="s">
        <v>17</v>
      </c>
      <c r="B45" s="228" t="str">
        <f t="shared" si="12"/>
        <v>NF</v>
      </c>
      <c r="C45" s="228" t="str">
        <f t="shared" si="12"/>
        <v>Precious &amp; Non-Ferrous metals</v>
      </c>
      <c r="D45" s="227">
        <v>1</v>
      </c>
      <c r="E45" s="227">
        <v>1</v>
      </c>
      <c r="F45" s="227">
        <v>1</v>
      </c>
      <c r="G45" s="227">
        <v>1</v>
      </c>
      <c r="J45" s="227">
        <f t="shared" si="15"/>
        <v>1</v>
      </c>
      <c r="K45" s="227">
        <f t="shared" si="15"/>
        <v>1</v>
      </c>
      <c r="L45" s="227">
        <f t="shared" si="15"/>
        <v>1</v>
      </c>
      <c r="M45" s="227">
        <f t="shared" si="15"/>
        <v>1</v>
      </c>
      <c r="N45" s="227">
        <f t="shared" si="15"/>
        <v>1</v>
      </c>
      <c r="O45" s="227">
        <f t="shared" si="15"/>
        <v>1</v>
      </c>
      <c r="P45" s="227">
        <f t="shared" si="15"/>
        <v>1</v>
      </c>
      <c r="Q45" s="227">
        <f t="shared" si="15"/>
        <v>1</v>
      </c>
      <c r="R45" s="227">
        <f t="shared" si="15"/>
        <v>1</v>
      </c>
      <c r="S45" s="227">
        <f t="shared" si="15"/>
        <v>1</v>
      </c>
      <c r="T45" s="227">
        <f t="shared" si="15"/>
        <v>1</v>
      </c>
      <c r="U45" s="227">
        <f t="shared" si="15"/>
        <v>1</v>
      </c>
      <c r="V45" s="227">
        <f t="shared" si="15"/>
        <v>1</v>
      </c>
      <c r="W45" s="227">
        <f t="shared" si="15"/>
        <v>1</v>
      </c>
      <c r="X45" s="227">
        <f t="shared" si="15"/>
        <v>1</v>
      </c>
      <c r="Y45" s="227">
        <f t="shared" si="15"/>
        <v>1</v>
      </c>
      <c r="Z45" s="227">
        <f t="shared" si="15"/>
        <v>1</v>
      </c>
      <c r="AA45" s="227">
        <f t="shared" si="15"/>
        <v>1</v>
      </c>
      <c r="AB45" s="227">
        <f t="shared" si="15"/>
        <v>1</v>
      </c>
      <c r="AC45" s="227">
        <f t="shared" si="15"/>
        <v>1</v>
      </c>
      <c r="AD45" s="227">
        <f t="shared" si="15"/>
        <v>1</v>
      </c>
      <c r="AE45" s="227">
        <f t="shared" si="15"/>
        <v>1</v>
      </c>
      <c r="AF45" s="227">
        <f t="shared" si="15"/>
        <v>1</v>
      </c>
      <c r="AG45" s="227">
        <f t="shared" si="15"/>
        <v>1</v>
      </c>
      <c r="AH45" s="227">
        <f t="shared" si="15"/>
        <v>1</v>
      </c>
      <c r="AI45" s="227">
        <f t="shared" si="15"/>
        <v>1</v>
      </c>
      <c r="AJ45" s="227">
        <f t="shared" si="15"/>
        <v>1</v>
      </c>
      <c r="AK45" s="227">
        <f t="shared" si="15"/>
        <v>1</v>
      </c>
      <c r="AL45" s="227">
        <f t="shared" si="15"/>
        <v>1</v>
      </c>
      <c r="AM45" s="227">
        <f t="shared" si="15"/>
        <v>1</v>
      </c>
      <c r="AN45" s="227">
        <f t="shared" si="15"/>
        <v>1</v>
      </c>
      <c r="AO45" s="227">
        <f t="shared" si="15"/>
        <v>1</v>
      </c>
      <c r="AP45" s="227">
        <f t="shared" si="15"/>
        <v>1</v>
      </c>
    </row>
    <row r="46" spans="1:42">
      <c r="A46" s="227" t="s">
        <v>17</v>
      </c>
      <c r="B46" s="228" t="str">
        <f t="shared" si="12"/>
        <v>NM</v>
      </c>
      <c r="C46" s="228" t="str">
        <f t="shared" si="12"/>
        <v>N.M.M Products</v>
      </c>
      <c r="D46" s="227">
        <v>1</v>
      </c>
      <c r="E46" s="227">
        <v>1</v>
      </c>
      <c r="F46" s="227">
        <v>1</v>
      </c>
      <c r="G46" s="227">
        <v>1</v>
      </c>
      <c r="J46" s="227">
        <f t="shared" si="15"/>
        <v>1</v>
      </c>
      <c r="K46" s="227">
        <f t="shared" si="15"/>
        <v>1</v>
      </c>
      <c r="L46" s="227">
        <f t="shared" si="15"/>
        <v>1</v>
      </c>
      <c r="M46" s="227">
        <f t="shared" si="15"/>
        <v>1</v>
      </c>
      <c r="N46" s="227">
        <f t="shared" si="15"/>
        <v>1</v>
      </c>
      <c r="O46" s="227">
        <f t="shared" si="15"/>
        <v>1</v>
      </c>
      <c r="P46" s="227">
        <f t="shared" si="15"/>
        <v>1</v>
      </c>
      <c r="Q46" s="227">
        <f t="shared" si="15"/>
        <v>1</v>
      </c>
      <c r="R46" s="227">
        <f t="shared" si="15"/>
        <v>1</v>
      </c>
      <c r="S46" s="227">
        <f t="shared" si="15"/>
        <v>1</v>
      </c>
      <c r="T46" s="227">
        <f t="shared" si="15"/>
        <v>1</v>
      </c>
      <c r="U46" s="227">
        <f t="shared" si="15"/>
        <v>1</v>
      </c>
      <c r="V46" s="227">
        <f t="shared" si="15"/>
        <v>1</v>
      </c>
      <c r="W46" s="227">
        <f t="shared" si="15"/>
        <v>1</v>
      </c>
      <c r="X46" s="227">
        <f t="shared" si="15"/>
        <v>1</v>
      </c>
      <c r="Y46" s="227">
        <f t="shared" si="15"/>
        <v>1</v>
      </c>
      <c r="Z46" s="227">
        <f t="shared" si="15"/>
        <v>1</v>
      </c>
      <c r="AA46" s="227">
        <f t="shared" si="15"/>
        <v>1</v>
      </c>
      <c r="AB46" s="227">
        <f t="shared" si="15"/>
        <v>1</v>
      </c>
      <c r="AC46" s="227">
        <f t="shared" si="15"/>
        <v>1</v>
      </c>
      <c r="AD46" s="227">
        <f t="shared" si="15"/>
        <v>1</v>
      </c>
      <c r="AE46" s="227">
        <f t="shared" si="15"/>
        <v>1</v>
      </c>
      <c r="AF46" s="227">
        <f t="shared" si="15"/>
        <v>1</v>
      </c>
      <c r="AG46" s="227">
        <f t="shared" si="15"/>
        <v>1</v>
      </c>
      <c r="AH46" s="227">
        <f t="shared" si="15"/>
        <v>1</v>
      </c>
      <c r="AI46" s="227">
        <f t="shared" si="15"/>
        <v>1</v>
      </c>
      <c r="AJ46" s="227">
        <f t="shared" si="15"/>
        <v>1</v>
      </c>
      <c r="AK46" s="227">
        <f t="shared" si="15"/>
        <v>1</v>
      </c>
      <c r="AL46" s="227">
        <f t="shared" si="15"/>
        <v>1</v>
      </c>
      <c r="AM46" s="227">
        <f t="shared" si="15"/>
        <v>1</v>
      </c>
      <c r="AN46" s="227">
        <f t="shared" si="15"/>
        <v>1</v>
      </c>
      <c r="AO46" s="227">
        <f t="shared" si="15"/>
        <v>1</v>
      </c>
      <c r="AP46" s="227">
        <f t="shared" si="15"/>
        <v>1</v>
      </c>
    </row>
    <row r="47" spans="1:42">
      <c r="A47" s="227" t="s">
        <v>17</v>
      </c>
      <c r="B47" s="228" t="str">
        <f t="shared" si="12"/>
        <v>NM</v>
      </c>
      <c r="C47" s="228" t="str">
        <f t="shared" si="12"/>
        <v>N.M.M Products</v>
      </c>
      <c r="D47" s="227">
        <v>1</v>
      </c>
      <c r="E47" s="227">
        <v>1</v>
      </c>
      <c r="F47" s="227">
        <v>1</v>
      </c>
      <c r="G47" s="227">
        <v>1</v>
      </c>
      <c r="J47" s="227">
        <f t="shared" si="15"/>
        <v>1</v>
      </c>
      <c r="K47" s="227">
        <f t="shared" si="15"/>
        <v>1</v>
      </c>
      <c r="L47" s="227">
        <f t="shared" si="15"/>
        <v>1</v>
      </c>
      <c r="M47" s="227">
        <f t="shared" si="15"/>
        <v>1</v>
      </c>
      <c r="N47" s="227">
        <f t="shared" si="15"/>
        <v>1</v>
      </c>
      <c r="O47" s="227">
        <f t="shared" si="15"/>
        <v>1</v>
      </c>
      <c r="P47" s="227">
        <f t="shared" si="15"/>
        <v>1</v>
      </c>
      <c r="Q47" s="227">
        <f t="shared" si="15"/>
        <v>1</v>
      </c>
      <c r="R47" s="227">
        <f t="shared" si="15"/>
        <v>1</v>
      </c>
      <c r="S47" s="227">
        <f t="shared" si="15"/>
        <v>1</v>
      </c>
      <c r="T47" s="227">
        <f t="shared" si="15"/>
        <v>1</v>
      </c>
      <c r="U47" s="227">
        <f t="shared" si="15"/>
        <v>1</v>
      </c>
      <c r="V47" s="227">
        <f t="shared" si="15"/>
        <v>1</v>
      </c>
      <c r="W47" s="227">
        <f t="shared" si="15"/>
        <v>1</v>
      </c>
      <c r="X47" s="227">
        <f t="shared" si="15"/>
        <v>1</v>
      </c>
      <c r="Y47" s="227">
        <f t="shared" si="15"/>
        <v>1</v>
      </c>
      <c r="Z47" s="227">
        <f t="shared" si="15"/>
        <v>1</v>
      </c>
      <c r="AA47" s="227">
        <f t="shared" si="15"/>
        <v>1</v>
      </c>
      <c r="AB47" s="227">
        <f t="shared" si="15"/>
        <v>1</v>
      </c>
      <c r="AC47" s="227">
        <f t="shared" si="15"/>
        <v>1</v>
      </c>
      <c r="AD47" s="227">
        <f t="shared" si="15"/>
        <v>1</v>
      </c>
      <c r="AE47" s="227">
        <f t="shared" si="15"/>
        <v>1</v>
      </c>
      <c r="AF47" s="227">
        <f t="shared" si="15"/>
        <v>1</v>
      </c>
      <c r="AG47" s="227">
        <f t="shared" si="15"/>
        <v>1</v>
      </c>
      <c r="AH47" s="227">
        <f t="shared" si="15"/>
        <v>1</v>
      </c>
      <c r="AI47" s="227">
        <f t="shared" si="15"/>
        <v>1</v>
      </c>
      <c r="AJ47" s="227">
        <f t="shared" si="15"/>
        <v>1</v>
      </c>
      <c r="AK47" s="227">
        <f t="shared" si="15"/>
        <v>1</v>
      </c>
      <c r="AL47" s="227">
        <f t="shared" si="15"/>
        <v>1</v>
      </c>
      <c r="AM47" s="227">
        <f t="shared" si="15"/>
        <v>1</v>
      </c>
      <c r="AN47" s="227">
        <f t="shared" si="15"/>
        <v>1</v>
      </c>
      <c r="AO47" s="227">
        <f t="shared" si="15"/>
        <v>1</v>
      </c>
      <c r="AP47" s="227">
        <f t="shared" si="15"/>
        <v>1</v>
      </c>
    </row>
    <row r="48" spans="1:42">
      <c r="A48" s="227" t="s">
        <v>17</v>
      </c>
      <c r="B48" s="228" t="str">
        <f t="shared" si="12"/>
        <v>NM</v>
      </c>
      <c r="C48" s="228" t="str">
        <f t="shared" si="12"/>
        <v>N.M.M Products</v>
      </c>
      <c r="D48" s="227">
        <v>1</v>
      </c>
      <c r="E48" s="227">
        <v>1</v>
      </c>
      <c r="F48" s="227">
        <v>1</v>
      </c>
      <c r="G48" s="227">
        <v>1</v>
      </c>
      <c r="J48" s="227">
        <f>IF(J$7=-1,K48,IF(J$7=99,I48,IF(J$7=0,INDEX($D48:$G48,0,J$5),(INDEX($D48:$G48,0,J$7+1)-INDEX($D48:$G48,0,J$7))/(INDEX($D$4:$G$4,0,J$7+1)-INDEX($D$4:$G$4,0,J$7))+I48)))</f>
        <v>1</v>
      </c>
      <c r="K48" s="227">
        <f t="shared" si="15"/>
        <v>1</v>
      </c>
      <c r="L48" s="227">
        <f t="shared" si="15"/>
        <v>1</v>
      </c>
      <c r="M48" s="227">
        <f t="shared" si="15"/>
        <v>1</v>
      </c>
      <c r="N48" s="227">
        <f t="shared" si="15"/>
        <v>1</v>
      </c>
      <c r="O48" s="227">
        <f t="shared" si="15"/>
        <v>1</v>
      </c>
      <c r="P48" s="227">
        <f t="shared" si="15"/>
        <v>1</v>
      </c>
      <c r="Q48" s="227">
        <f t="shared" si="15"/>
        <v>1</v>
      </c>
      <c r="R48" s="227">
        <f t="shared" si="15"/>
        <v>1</v>
      </c>
      <c r="S48" s="227">
        <f t="shared" si="15"/>
        <v>1</v>
      </c>
      <c r="T48" s="227">
        <f t="shared" si="15"/>
        <v>1</v>
      </c>
      <c r="U48" s="227">
        <f t="shared" si="15"/>
        <v>1</v>
      </c>
      <c r="V48" s="227">
        <f t="shared" si="15"/>
        <v>1</v>
      </c>
      <c r="W48" s="227">
        <f t="shared" si="15"/>
        <v>1</v>
      </c>
      <c r="X48" s="227">
        <f t="shared" si="15"/>
        <v>1</v>
      </c>
      <c r="Y48" s="227">
        <f t="shared" si="15"/>
        <v>1</v>
      </c>
      <c r="Z48" s="227">
        <f t="shared" si="15"/>
        <v>1</v>
      </c>
      <c r="AA48" s="227">
        <f t="shared" si="15"/>
        <v>1</v>
      </c>
      <c r="AB48" s="227">
        <f t="shared" si="15"/>
        <v>1</v>
      </c>
      <c r="AC48" s="227">
        <f t="shared" si="15"/>
        <v>1</v>
      </c>
      <c r="AD48" s="227">
        <f t="shared" si="15"/>
        <v>1</v>
      </c>
      <c r="AE48" s="227">
        <f t="shared" si="15"/>
        <v>1</v>
      </c>
      <c r="AF48" s="227">
        <f t="shared" si="15"/>
        <v>1</v>
      </c>
      <c r="AG48" s="227">
        <f t="shared" si="15"/>
        <v>1</v>
      </c>
      <c r="AH48" s="227">
        <f t="shared" si="15"/>
        <v>1</v>
      </c>
      <c r="AI48" s="227">
        <f t="shared" si="15"/>
        <v>1</v>
      </c>
      <c r="AJ48" s="227">
        <f t="shared" si="15"/>
        <v>1</v>
      </c>
      <c r="AK48" s="227">
        <f t="shared" si="15"/>
        <v>1</v>
      </c>
      <c r="AL48" s="227">
        <f t="shared" si="15"/>
        <v>1</v>
      </c>
      <c r="AM48" s="227">
        <f t="shared" si="15"/>
        <v>1</v>
      </c>
      <c r="AN48" s="227">
        <f t="shared" si="15"/>
        <v>1</v>
      </c>
      <c r="AO48" s="227">
        <f t="shared" si="15"/>
        <v>1</v>
      </c>
      <c r="AP48" s="227">
        <f t="shared" si="15"/>
        <v>1</v>
      </c>
    </row>
    <row r="49" spans="1:42">
      <c r="A49" s="227" t="s">
        <v>17</v>
      </c>
      <c r="B49" s="228" t="str">
        <f t="shared" si="12"/>
        <v>NM</v>
      </c>
      <c r="C49" s="228" t="str">
        <f t="shared" si="12"/>
        <v>N.M.M Products</v>
      </c>
      <c r="D49" s="227">
        <v>1</v>
      </c>
      <c r="E49" s="227">
        <v>1</v>
      </c>
      <c r="F49" s="227">
        <v>1</v>
      </c>
      <c r="G49" s="227">
        <v>1</v>
      </c>
      <c r="J49" s="227">
        <f t="shared" ref="J49:AP53" si="16">IF(J$7=-1,K49,IF(J$7=99,I49,IF(J$7=0,INDEX($D49:$G49,0,J$5),(INDEX($D49:$G49,0,J$7+1)-INDEX($D49:$G49,0,J$7))/(INDEX($D$4:$G$4,0,J$7+1)-INDEX($D$4:$G$4,0,J$7))+I49)))</f>
        <v>1</v>
      </c>
      <c r="K49" s="227">
        <f t="shared" si="16"/>
        <v>1</v>
      </c>
      <c r="L49" s="227">
        <f t="shared" si="16"/>
        <v>1</v>
      </c>
      <c r="M49" s="227">
        <f t="shared" si="16"/>
        <v>1</v>
      </c>
      <c r="N49" s="227">
        <f t="shared" si="16"/>
        <v>1</v>
      </c>
      <c r="O49" s="227">
        <f t="shared" si="16"/>
        <v>1</v>
      </c>
      <c r="P49" s="227">
        <f t="shared" si="16"/>
        <v>1</v>
      </c>
      <c r="Q49" s="227">
        <f t="shared" si="16"/>
        <v>1</v>
      </c>
      <c r="R49" s="227">
        <f t="shared" si="16"/>
        <v>1</v>
      </c>
      <c r="S49" s="227">
        <f t="shared" si="16"/>
        <v>1</v>
      </c>
      <c r="T49" s="227">
        <f t="shared" si="16"/>
        <v>1</v>
      </c>
      <c r="U49" s="227">
        <f t="shared" si="16"/>
        <v>1</v>
      </c>
      <c r="V49" s="227">
        <f t="shared" si="16"/>
        <v>1</v>
      </c>
      <c r="W49" s="227">
        <f t="shared" si="16"/>
        <v>1</v>
      </c>
      <c r="X49" s="227">
        <f t="shared" si="16"/>
        <v>1</v>
      </c>
      <c r="Y49" s="227">
        <f t="shared" si="16"/>
        <v>1</v>
      </c>
      <c r="Z49" s="227">
        <f t="shared" si="16"/>
        <v>1</v>
      </c>
      <c r="AA49" s="227">
        <f t="shared" si="16"/>
        <v>1</v>
      </c>
      <c r="AB49" s="227">
        <f t="shared" si="16"/>
        <v>1</v>
      </c>
      <c r="AC49" s="227">
        <f t="shared" si="16"/>
        <v>1</v>
      </c>
      <c r="AD49" s="227">
        <f t="shared" si="16"/>
        <v>1</v>
      </c>
      <c r="AE49" s="227">
        <f t="shared" si="16"/>
        <v>1</v>
      </c>
      <c r="AF49" s="227">
        <f t="shared" si="16"/>
        <v>1</v>
      </c>
      <c r="AG49" s="227">
        <f t="shared" si="16"/>
        <v>1</v>
      </c>
      <c r="AH49" s="227">
        <f t="shared" si="16"/>
        <v>1</v>
      </c>
      <c r="AI49" s="227">
        <f t="shared" si="16"/>
        <v>1</v>
      </c>
      <c r="AJ49" s="227">
        <f t="shared" si="16"/>
        <v>1</v>
      </c>
      <c r="AK49" s="227">
        <f t="shared" si="16"/>
        <v>1</v>
      </c>
      <c r="AL49" s="227">
        <f t="shared" si="16"/>
        <v>1</v>
      </c>
      <c r="AM49" s="227">
        <f t="shared" si="16"/>
        <v>1</v>
      </c>
      <c r="AN49" s="227">
        <f t="shared" si="16"/>
        <v>1</v>
      </c>
      <c r="AO49" s="227">
        <f t="shared" si="16"/>
        <v>1</v>
      </c>
      <c r="AP49" s="227">
        <f t="shared" si="16"/>
        <v>1</v>
      </c>
    </row>
    <row r="50" spans="1:42">
      <c r="A50" s="227" t="s">
        <v>17</v>
      </c>
      <c r="B50" s="228" t="str">
        <f t="shared" si="12"/>
        <v>FB</v>
      </c>
      <c r="C50" s="228" t="str">
        <f t="shared" si="12"/>
        <v>Food, Beverage &amp; Tabacco</v>
      </c>
      <c r="D50" s="227">
        <v>1</v>
      </c>
      <c r="E50" s="227">
        <v>1</v>
      </c>
      <c r="F50" s="227">
        <v>1</v>
      </c>
      <c r="G50" s="227">
        <v>1</v>
      </c>
      <c r="J50" s="227">
        <f t="shared" si="16"/>
        <v>1</v>
      </c>
      <c r="K50" s="227">
        <f t="shared" si="16"/>
        <v>1</v>
      </c>
      <c r="L50" s="227">
        <f t="shared" si="16"/>
        <v>1</v>
      </c>
      <c r="M50" s="227">
        <f t="shared" si="16"/>
        <v>1</v>
      </c>
      <c r="N50" s="227">
        <f t="shared" si="16"/>
        <v>1</v>
      </c>
      <c r="O50" s="227">
        <f t="shared" si="16"/>
        <v>1</v>
      </c>
      <c r="P50" s="227">
        <f t="shared" si="16"/>
        <v>1</v>
      </c>
      <c r="Q50" s="227">
        <f t="shared" si="16"/>
        <v>1</v>
      </c>
      <c r="R50" s="227">
        <f t="shared" si="16"/>
        <v>1</v>
      </c>
      <c r="S50" s="227">
        <f t="shared" si="16"/>
        <v>1</v>
      </c>
      <c r="T50" s="227">
        <f t="shared" si="16"/>
        <v>1</v>
      </c>
      <c r="U50" s="227">
        <f t="shared" si="16"/>
        <v>1</v>
      </c>
      <c r="V50" s="227">
        <f t="shared" si="16"/>
        <v>1</v>
      </c>
      <c r="W50" s="227">
        <f t="shared" si="16"/>
        <v>1</v>
      </c>
      <c r="X50" s="227">
        <f t="shared" si="16"/>
        <v>1</v>
      </c>
      <c r="Y50" s="227">
        <f t="shared" si="16"/>
        <v>1</v>
      </c>
      <c r="Z50" s="227">
        <f t="shared" si="16"/>
        <v>1</v>
      </c>
      <c r="AA50" s="227">
        <f t="shared" si="16"/>
        <v>1</v>
      </c>
      <c r="AB50" s="227">
        <f t="shared" si="16"/>
        <v>1</v>
      </c>
      <c r="AC50" s="227">
        <f t="shared" si="16"/>
        <v>1</v>
      </c>
      <c r="AD50" s="227">
        <f t="shared" si="16"/>
        <v>1</v>
      </c>
      <c r="AE50" s="227">
        <f t="shared" si="16"/>
        <v>1</v>
      </c>
      <c r="AF50" s="227">
        <f t="shared" si="16"/>
        <v>1</v>
      </c>
      <c r="AG50" s="227">
        <f t="shared" si="16"/>
        <v>1</v>
      </c>
      <c r="AH50" s="227">
        <f t="shared" si="16"/>
        <v>1</v>
      </c>
      <c r="AI50" s="227">
        <f t="shared" si="16"/>
        <v>1</v>
      </c>
      <c r="AJ50" s="227">
        <f t="shared" si="16"/>
        <v>1</v>
      </c>
      <c r="AK50" s="227">
        <f t="shared" si="16"/>
        <v>1</v>
      </c>
      <c r="AL50" s="227">
        <f t="shared" si="16"/>
        <v>1</v>
      </c>
      <c r="AM50" s="227">
        <f t="shared" si="16"/>
        <v>1</v>
      </c>
      <c r="AN50" s="227">
        <f t="shared" si="16"/>
        <v>1</v>
      </c>
      <c r="AO50" s="227">
        <f t="shared" si="16"/>
        <v>1</v>
      </c>
      <c r="AP50" s="227">
        <f t="shared" si="16"/>
        <v>1</v>
      </c>
    </row>
    <row r="51" spans="1:42">
      <c r="A51" s="227" t="s">
        <v>17</v>
      </c>
      <c r="B51" s="228" t="str">
        <f t="shared" si="12"/>
        <v>PP</v>
      </c>
      <c r="C51" s="228" t="str">
        <f t="shared" si="12"/>
        <v>Pulp &amp; Paper Products</v>
      </c>
      <c r="D51" s="227">
        <v>1</v>
      </c>
      <c r="E51" s="227">
        <v>1</v>
      </c>
      <c r="F51" s="227">
        <v>1</v>
      </c>
      <c r="G51" s="227">
        <v>1</v>
      </c>
      <c r="J51" s="227">
        <f t="shared" si="16"/>
        <v>1</v>
      </c>
      <c r="K51" s="227">
        <f t="shared" si="16"/>
        <v>1</v>
      </c>
      <c r="L51" s="227">
        <f t="shared" si="16"/>
        <v>1</v>
      </c>
      <c r="M51" s="227">
        <f t="shared" si="16"/>
        <v>1</v>
      </c>
      <c r="N51" s="227">
        <f t="shared" si="16"/>
        <v>1</v>
      </c>
      <c r="O51" s="227">
        <f t="shared" si="16"/>
        <v>1</v>
      </c>
      <c r="P51" s="227">
        <f t="shared" si="16"/>
        <v>1</v>
      </c>
      <c r="Q51" s="227">
        <f t="shared" si="16"/>
        <v>1</v>
      </c>
      <c r="R51" s="227">
        <f t="shared" si="16"/>
        <v>1</v>
      </c>
      <c r="S51" s="227">
        <f t="shared" si="16"/>
        <v>1</v>
      </c>
      <c r="T51" s="227">
        <f t="shared" si="16"/>
        <v>1</v>
      </c>
      <c r="U51" s="227">
        <f t="shared" si="16"/>
        <v>1</v>
      </c>
      <c r="V51" s="227">
        <f t="shared" si="16"/>
        <v>1</v>
      </c>
      <c r="W51" s="227">
        <f t="shared" si="16"/>
        <v>1</v>
      </c>
      <c r="X51" s="227">
        <f t="shared" si="16"/>
        <v>1</v>
      </c>
      <c r="Y51" s="227">
        <f t="shared" si="16"/>
        <v>1</v>
      </c>
      <c r="Z51" s="227">
        <f t="shared" si="16"/>
        <v>1</v>
      </c>
      <c r="AA51" s="227">
        <f t="shared" si="16"/>
        <v>1</v>
      </c>
      <c r="AB51" s="227">
        <f t="shared" si="16"/>
        <v>1</v>
      </c>
      <c r="AC51" s="227">
        <f t="shared" si="16"/>
        <v>1</v>
      </c>
      <c r="AD51" s="227">
        <f t="shared" si="16"/>
        <v>1</v>
      </c>
      <c r="AE51" s="227">
        <f t="shared" si="16"/>
        <v>1</v>
      </c>
      <c r="AF51" s="227">
        <f t="shared" si="16"/>
        <v>1</v>
      </c>
      <c r="AG51" s="227">
        <f t="shared" si="16"/>
        <v>1</v>
      </c>
      <c r="AH51" s="227">
        <f t="shared" si="16"/>
        <v>1</v>
      </c>
      <c r="AI51" s="227">
        <f t="shared" si="16"/>
        <v>1</v>
      </c>
      <c r="AJ51" s="227">
        <f t="shared" si="16"/>
        <v>1</v>
      </c>
      <c r="AK51" s="227">
        <f t="shared" si="16"/>
        <v>1</v>
      </c>
      <c r="AL51" s="227">
        <f t="shared" si="16"/>
        <v>1</v>
      </c>
      <c r="AM51" s="227">
        <f t="shared" si="16"/>
        <v>1</v>
      </c>
      <c r="AN51" s="227">
        <f t="shared" si="16"/>
        <v>1</v>
      </c>
      <c r="AO51" s="227">
        <f t="shared" si="16"/>
        <v>1</v>
      </c>
      <c r="AP51" s="227">
        <f t="shared" si="16"/>
        <v>1</v>
      </c>
    </row>
    <row r="52" spans="1:42">
      <c r="A52" s="227" t="s">
        <v>17</v>
      </c>
      <c r="B52" s="228" t="str">
        <f t="shared" si="12"/>
        <v>PP</v>
      </c>
      <c r="C52" s="228" t="str">
        <f t="shared" si="12"/>
        <v>Pulp &amp; Paper Products</v>
      </c>
      <c r="D52" s="227">
        <v>1</v>
      </c>
      <c r="E52" s="227">
        <v>1</v>
      </c>
      <c r="F52" s="227">
        <v>1</v>
      </c>
      <c r="G52" s="227">
        <v>1</v>
      </c>
      <c r="J52" s="227">
        <f t="shared" si="16"/>
        <v>1</v>
      </c>
      <c r="K52" s="227">
        <f t="shared" si="16"/>
        <v>1</v>
      </c>
      <c r="L52" s="227">
        <f t="shared" si="16"/>
        <v>1</v>
      </c>
      <c r="M52" s="227">
        <f t="shared" si="16"/>
        <v>1</v>
      </c>
      <c r="N52" s="227">
        <f t="shared" si="16"/>
        <v>1</v>
      </c>
      <c r="O52" s="227">
        <f t="shared" si="16"/>
        <v>1</v>
      </c>
      <c r="P52" s="227">
        <f t="shared" si="16"/>
        <v>1</v>
      </c>
      <c r="Q52" s="227">
        <f t="shared" si="16"/>
        <v>1</v>
      </c>
      <c r="R52" s="227">
        <f t="shared" si="16"/>
        <v>1</v>
      </c>
      <c r="S52" s="227">
        <f t="shared" si="16"/>
        <v>1</v>
      </c>
      <c r="T52" s="227">
        <f t="shared" si="16"/>
        <v>1</v>
      </c>
      <c r="U52" s="227">
        <f t="shared" si="16"/>
        <v>1</v>
      </c>
      <c r="V52" s="227">
        <f t="shared" si="16"/>
        <v>1</v>
      </c>
      <c r="W52" s="227">
        <f t="shared" si="16"/>
        <v>1</v>
      </c>
      <c r="X52" s="227">
        <f t="shared" si="16"/>
        <v>1</v>
      </c>
      <c r="Y52" s="227">
        <f t="shared" si="16"/>
        <v>1</v>
      </c>
      <c r="Z52" s="227">
        <f t="shared" si="16"/>
        <v>1</v>
      </c>
      <c r="AA52" s="227">
        <f t="shared" si="16"/>
        <v>1</v>
      </c>
      <c r="AB52" s="227">
        <f t="shared" si="16"/>
        <v>1</v>
      </c>
      <c r="AC52" s="227">
        <f t="shared" si="16"/>
        <v>1</v>
      </c>
      <c r="AD52" s="227">
        <f t="shared" si="16"/>
        <v>1</v>
      </c>
      <c r="AE52" s="227">
        <f t="shared" si="16"/>
        <v>1</v>
      </c>
      <c r="AF52" s="227">
        <f t="shared" si="16"/>
        <v>1</v>
      </c>
      <c r="AG52" s="227">
        <f t="shared" si="16"/>
        <v>1</v>
      </c>
      <c r="AH52" s="227">
        <f t="shared" si="16"/>
        <v>1</v>
      </c>
      <c r="AI52" s="227">
        <f t="shared" si="16"/>
        <v>1</v>
      </c>
      <c r="AJ52" s="227">
        <f t="shared" si="16"/>
        <v>1</v>
      </c>
      <c r="AK52" s="227">
        <f t="shared" si="16"/>
        <v>1</v>
      </c>
      <c r="AL52" s="227">
        <f t="shared" si="16"/>
        <v>1</v>
      </c>
      <c r="AM52" s="227">
        <f t="shared" si="16"/>
        <v>1</v>
      </c>
      <c r="AN52" s="227">
        <f t="shared" si="16"/>
        <v>1</v>
      </c>
      <c r="AO52" s="227">
        <f t="shared" si="16"/>
        <v>1</v>
      </c>
      <c r="AP52" s="227">
        <f t="shared" si="16"/>
        <v>1</v>
      </c>
    </row>
    <row r="53" spans="1:42">
      <c r="A53" s="227" t="s">
        <v>17</v>
      </c>
      <c r="B53" s="228" t="str">
        <f>B22</f>
        <v>OT</v>
      </c>
      <c r="C53" s="228" t="str">
        <f>C22</f>
        <v>Other</v>
      </c>
      <c r="D53" s="227">
        <v>1</v>
      </c>
      <c r="E53" s="227">
        <v>1</v>
      </c>
      <c r="F53" s="227">
        <v>1</v>
      </c>
      <c r="G53" s="227">
        <v>1</v>
      </c>
      <c r="J53" s="227">
        <f t="shared" si="16"/>
        <v>1</v>
      </c>
      <c r="K53" s="227">
        <f t="shared" si="16"/>
        <v>1</v>
      </c>
      <c r="L53" s="227">
        <f t="shared" si="16"/>
        <v>1</v>
      </c>
      <c r="M53" s="227">
        <f t="shared" si="16"/>
        <v>1</v>
      </c>
      <c r="N53" s="227">
        <f t="shared" si="16"/>
        <v>1</v>
      </c>
      <c r="O53" s="227">
        <f t="shared" si="16"/>
        <v>1</v>
      </c>
      <c r="P53" s="227">
        <f t="shared" si="16"/>
        <v>1</v>
      </c>
      <c r="Q53" s="227">
        <f t="shared" si="16"/>
        <v>1</v>
      </c>
      <c r="R53" s="227">
        <f t="shared" si="16"/>
        <v>1</v>
      </c>
      <c r="S53" s="227">
        <f t="shared" si="16"/>
        <v>1</v>
      </c>
      <c r="T53" s="227">
        <f t="shared" si="16"/>
        <v>1</v>
      </c>
      <c r="U53" s="227">
        <f t="shared" si="16"/>
        <v>1</v>
      </c>
      <c r="V53" s="227">
        <f t="shared" si="16"/>
        <v>1</v>
      </c>
      <c r="W53" s="227">
        <f t="shared" si="16"/>
        <v>1</v>
      </c>
      <c r="X53" s="227">
        <f t="shared" si="16"/>
        <v>1</v>
      </c>
      <c r="Y53" s="227">
        <f t="shared" si="16"/>
        <v>1</v>
      </c>
      <c r="Z53" s="227">
        <f t="shared" si="16"/>
        <v>1</v>
      </c>
      <c r="AA53" s="227">
        <f t="shared" si="16"/>
        <v>1</v>
      </c>
      <c r="AB53" s="227">
        <f t="shared" si="16"/>
        <v>1</v>
      </c>
      <c r="AC53" s="227">
        <f t="shared" si="16"/>
        <v>1</v>
      </c>
      <c r="AD53" s="227">
        <f t="shared" si="16"/>
        <v>1</v>
      </c>
      <c r="AE53" s="227">
        <f t="shared" si="16"/>
        <v>1</v>
      </c>
      <c r="AF53" s="227">
        <f t="shared" si="16"/>
        <v>1</v>
      </c>
      <c r="AG53" s="227">
        <f t="shared" si="16"/>
        <v>1</v>
      </c>
      <c r="AH53" s="227">
        <f t="shared" si="16"/>
        <v>1</v>
      </c>
      <c r="AI53" s="227">
        <f t="shared" si="16"/>
        <v>1</v>
      </c>
      <c r="AJ53" s="227">
        <f t="shared" si="16"/>
        <v>1</v>
      </c>
      <c r="AK53" s="227">
        <f t="shared" si="16"/>
        <v>1</v>
      </c>
      <c r="AL53" s="227">
        <f t="shared" si="16"/>
        <v>1</v>
      </c>
      <c r="AM53" s="227">
        <f t="shared" si="16"/>
        <v>1</v>
      </c>
      <c r="AN53" s="227">
        <f t="shared" si="16"/>
        <v>1</v>
      </c>
      <c r="AO53" s="227">
        <f t="shared" si="16"/>
        <v>1</v>
      </c>
      <c r="AP53" s="227">
        <f t="shared" si="16"/>
        <v>1</v>
      </c>
    </row>
    <row r="54" spans="1:42">
      <c r="A54" s="227" t="s">
        <v>17</v>
      </c>
      <c r="B54" s="228"/>
    </row>
    <row r="55" spans="1:42" ht="15" thickBot="1">
      <c r="A55" s="227" t="s">
        <v>17</v>
      </c>
      <c r="B55" s="14" t="s">
        <v>296</v>
      </c>
      <c r="C55" s="14"/>
    </row>
    <row r="56" spans="1:42">
      <c r="A56" s="227" t="s">
        <v>17</v>
      </c>
      <c r="B56" s="228" t="s">
        <v>108</v>
      </c>
      <c r="C56" s="228" t="s">
        <v>109</v>
      </c>
    </row>
    <row r="57" spans="1:42">
      <c r="A57" s="227" t="s">
        <v>17</v>
      </c>
      <c r="B57" s="228" t="s">
        <v>110</v>
      </c>
      <c r="C57" s="228" t="s">
        <v>111</v>
      </c>
    </row>
    <row r="58" spans="1:42">
      <c r="A58" s="227" t="s">
        <v>17</v>
      </c>
      <c r="B58" s="228" t="s">
        <v>112</v>
      </c>
      <c r="C58" s="228" t="s">
        <v>74</v>
      </c>
    </row>
    <row r="59" spans="1:42">
      <c r="A59" s="227" t="s">
        <v>17</v>
      </c>
      <c r="B59" s="228" t="s">
        <v>113</v>
      </c>
      <c r="C59" s="228" t="s">
        <v>73</v>
      </c>
    </row>
    <row r="60" spans="1:42">
      <c r="A60" s="227" t="s">
        <v>17</v>
      </c>
      <c r="B60" s="228" t="s">
        <v>114</v>
      </c>
      <c r="C60" s="228" t="s">
        <v>115</v>
      </c>
    </row>
    <row r="61" spans="1:42">
      <c r="A61" s="227" t="s">
        <v>17</v>
      </c>
      <c r="B61" s="228" t="s">
        <v>116</v>
      </c>
      <c r="C61" s="228" t="s">
        <v>117</v>
      </c>
    </row>
    <row r="62" spans="1:42">
      <c r="A62" s="227" t="s">
        <v>17</v>
      </c>
      <c r="B62" s="228" t="s">
        <v>118</v>
      </c>
      <c r="C62" s="228" t="s">
        <v>119</v>
      </c>
    </row>
    <row r="63" spans="1:42">
      <c r="A63" s="227" t="s">
        <v>17</v>
      </c>
      <c r="B63" s="228" t="s">
        <v>120</v>
      </c>
      <c r="C63" s="228" t="s">
        <v>121</v>
      </c>
    </row>
    <row r="64" spans="1:42">
      <c r="A64" s="227" t="s">
        <v>17</v>
      </c>
      <c r="B64" s="228" t="s">
        <v>38</v>
      </c>
      <c r="C64" s="228" t="s">
        <v>122</v>
      </c>
    </row>
    <row r="65" spans="1:48">
      <c r="A65" s="227" t="s">
        <v>17</v>
      </c>
      <c r="B65" s="228" t="s">
        <v>123</v>
      </c>
      <c r="C65" s="228" t="s">
        <v>124</v>
      </c>
    </row>
    <row r="66" spans="1:48">
      <c r="A66" s="227" t="s">
        <v>17</v>
      </c>
      <c r="B66" s="228" t="s">
        <v>222</v>
      </c>
      <c r="C66" s="228" t="s">
        <v>221</v>
      </c>
    </row>
    <row r="67" spans="1:48">
      <c r="A67" s="227" t="s">
        <v>17</v>
      </c>
      <c r="B67" s="228" t="s">
        <v>125</v>
      </c>
      <c r="C67" s="228" t="s">
        <v>3</v>
      </c>
      <c r="P67" s="227" t="str">
        <f>ADDRESS(ROW(),1)</f>
        <v>$A$67</v>
      </c>
    </row>
    <row r="68" spans="1:48">
      <c r="A68" s="227" t="s">
        <v>17</v>
      </c>
      <c r="B68" s="228"/>
      <c r="C68" s="228"/>
      <c r="P68" s="227" t="str">
        <f ca="1">INDIRECT(P67)</f>
        <v>*</v>
      </c>
    </row>
    <row r="69" spans="1:48" ht="21.6">
      <c r="A69" s="227" t="s">
        <v>17</v>
      </c>
      <c r="B69" s="16" t="s">
        <v>19</v>
      </c>
      <c r="C69" s="16" t="s">
        <v>20</v>
      </c>
      <c r="D69" s="16" t="s">
        <v>21</v>
      </c>
      <c r="E69" s="16" t="s">
        <v>22</v>
      </c>
      <c r="F69" s="16" t="s">
        <v>23</v>
      </c>
      <c r="G69" s="16" t="s">
        <v>24</v>
      </c>
      <c r="H69" s="16" t="s">
        <v>25</v>
      </c>
      <c r="I69" s="17" t="s">
        <v>26</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17</v>
      </c>
      <c r="B70" s="5">
        <v>1</v>
      </c>
      <c r="C70" s="3" t="str">
        <f ca="1">OFFSET($C$9,$B70,0)</f>
        <v>Mining</v>
      </c>
      <c r="D70" s="3" t="str">
        <f ca="1">OFFSET($B$9,$B70,0)</f>
        <v>MI</v>
      </c>
      <c r="J70" s="5">
        <f ca="1">SUMIF($B$10:$B$22,$D70,J$10:J$22)*SUMIF($B$10:$B$22,$D70,J$41:J$53)</f>
        <v>3.0070957798834522E-2</v>
      </c>
      <c r="K70" s="5">
        <f t="shared" ref="K70:AP70" ca="1" si="18">SUMIF($B$10:$B$22,$D70,K$10:K$22)*SUMIF($B$10:$B$22,$D70,K$41:K$53)</f>
        <v>3.0545829003268101E-2</v>
      </c>
      <c r="L70" s="5">
        <f t="shared" ca="1" si="18"/>
        <v>3.1022855904613404E-2</v>
      </c>
      <c r="M70" s="5">
        <f t="shared" ca="1" si="18"/>
        <v>3.1502038502870429E-2</v>
      </c>
      <c r="N70" s="5">
        <f t="shared" ca="1" si="18"/>
        <v>3.1595554324006382E-2</v>
      </c>
      <c r="O70" s="5">
        <f t="shared" ca="1" si="18"/>
        <v>3.1689110293228094E-2</v>
      </c>
      <c r="P70" s="5">
        <f t="shared" ca="1" si="18"/>
        <v>3.1782706410535565E-2</v>
      </c>
      <c r="Q70" s="5">
        <f t="shared" ca="1" si="18"/>
        <v>3.1876342675928794E-2</v>
      </c>
      <c r="R70" s="5">
        <f t="shared" ca="1" si="18"/>
        <v>3.1970019089407789E-2</v>
      </c>
      <c r="S70" s="5">
        <f t="shared" ca="1" si="18"/>
        <v>3.2481862538442027E-2</v>
      </c>
      <c r="T70" s="5">
        <f t="shared" ca="1" si="18"/>
        <v>3.29970201845887E-2</v>
      </c>
      <c r="U70" s="5">
        <f t="shared" ca="1" si="18"/>
        <v>3.3515492027847815E-2</v>
      </c>
      <c r="V70" s="5">
        <f t="shared" ca="1" si="18"/>
        <v>3.4037278068219372E-2</v>
      </c>
      <c r="W70" s="5">
        <f t="shared" ca="1" si="18"/>
        <v>3.4562378305703377E-2</v>
      </c>
      <c r="X70" s="5">
        <f t="shared" ca="1" si="18"/>
        <v>3.5406115796430944E-2</v>
      </c>
      <c r="Y70" s="5">
        <f t="shared" ca="1" si="18"/>
        <v>3.625595416621262E-2</v>
      </c>
      <c r="Z70" s="5">
        <f t="shared" ca="1" si="18"/>
        <v>3.7111893415048412E-2</v>
      </c>
      <c r="AA70" s="5">
        <f t="shared" ca="1" si="18"/>
        <v>3.7973933542938328E-2</v>
      </c>
      <c r="AB70" s="5">
        <f t="shared" ca="1" si="18"/>
        <v>3.8842074549882345E-2</v>
      </c>
      <c r="AC70" s="5">
        <f t="shared" ca="1" si="18"/>
        <v>3.9641707432588429E-2</v>
      </c>
      <c r="AD70" s="5">
        <f t="shared" ca="1" si="18"/>
        <v>4.0441340315294512E-2</v>
      </c>
      <c r="AE70" s="5">
        <f t="shared" ca="1" si="18"/>
        <v>4.1240973198000595E-2</v>
      </c>
      <c r="AF70" s="5">
        <f t="shared" ca="1" si="18"/>
        <v>4.2040606080706679E-2</v>
      </c>
      <c r="AG70" s="5">
        <f t="shared" ca="1" si="18"/>
        <v>4.2840238963412755E-2</v>
      </c>
      <c r="AH70" s="5">
        <f t="shared" ca="1" si="18"/>
        <v>4.3797016883526815E-2</v>
      </c>
      <c r="AI70" s="5">
        <f t="shared" ca="1" si="18"/>
        <v>4.4753794803640876E-2</v>
      </c>
      <c r="AJ70" s="5">
        <f t="shared" ca="1" si="18"/>
        <v>4.5710572723754936E-2</v>
      </c>
      <c r="AK70" s="5">
        <f t="shared" ca="1" si="18"/>
        <v>4.6667350643869003E-2</v>
      </c>
      <c r="AL70" s="5">
        <f t="shared" ca="1" si="18"/>
        <v>4.7624128563983056E-2</v>
      </c>
      <c r="AM70" s="5">
        <f t="shared" ca="1" si="18"/>
        <v>5.1995756093028297E-2</v>
      </c>
      <c r="AN70" s="5">
        <f t="shared" ca="1" si="18"/>
        <v>5.6191539304980095E-2</v>
      </c>
      <c r="AO70" s="5">
        <f t="shared" ca="1" si="18"/>
        <v>6.4788257432159255E-2</v>
      </c>
      <c r="AP70" s="5">
        <f t="shared" ca="1" si="18"/>
        <v>7.3355668173156252E-2</v>
      </c>
    </row>
    <row r="71" spans="1:48">
      <c r="A71" s="61" t="str">
        <f>'[5]TS BYDem'!A10</f>
        <v/>
      </c>
      <c r="B71" s="227" t="s">
        <v>295</v>
      </c>
      <c r="C71" s="227" t="s">
        <v>138</v>
      </c>
      <c r="D71" s="227" t="str">
        <f>'[5]TS BYDem'!D10</f>
        <v>IMIK</v>
      </c>
      <c r="E71" s="227" t="s">
        <v>138</v>
      </c>
      <c r="F71" s="227" t="s">
        <v>138</v>
      </c>
      <c r="G71" s="227" t="s">
        <v>138</v>
      </c>
      <c r="H71" s="227" t="s">
        <v>138</v>
      </c>
      <c r="I71" s="227">
        <v>0</v>
      </c>
      <c r="J71" s="227">
        <f>INDEX('[5]TS BYDem'!$J$10:$J$203,MATCH(D71,'[5]TS BYDem'!$D$10:$D$203,0))</f>
        <v>2.1376388478991801</v>
      </c>
      <c r="K71" s="227">
        <f t="shared" ref="K71:Z86" ca="1" si="19">K$70/J$70*J71</f>
        <v>2.1713957751356396</v>
      </c>
      <c r="L71" s="227">
        <f t="shared" ca="1" si="19"/>
        <v>2.2053059432995621</v>
      </c>
      <c r="M71" s="234">
        <f>O71</f>
        <v>2.2014400000000003</v>
      </c>
      <c r="N71" s="234">
        <f>O71</f>
        <v>2.2014400000000003</v>
      </c>
      <c r="O71" s="234">
        <f>INDEX('[5]TS BYDem'!$O$10:$O$203,MATCH(D71,'[5]TS BYDem'!$D$10:$D$203,0))</f>
        <v>2.2014400000000003</v>
      </c>
      <c r="P71" s="227">
        <f t="shared" ca="1" si="19"/>
        <v>2.2079421149088363</v>
      </c>
      <c r="Q71" s="227">
        <f t="shared" ca="1" si="19"/>
        <v>2.2144470189020331</v>
      </c>
      <c r="R71" s="227">
        <f t="shared" ca="1" si="19"/>
        <v>2.2209547119795903</v>
      </c>
      <c r="S71" s="227">
        <f t="shared" ca="1" si="19"/>
        <v>2.2565124361320015</v>
      </c>
      <c r="T71" s="227">
        <f t="shared" ca="1" si="19"/>
        <v>2.2923003972971809</v>
      </c>
      <c r="U71" s="227">
        <f t="shared" ca="1" si="19"/>
        <v>2.3283185954751291</v>
      </c>
      <c r="V71" s="227">
        <f t="shared" ca="1" si="19"/>
        <v>2.3645670306658459</v>
      </c>
      <c r="W71" s="227">
        <f t="shared" ca="1" si="19"/>
        <v>2.4010457028693319</v>
      </c>
      <c r="X71" s="227">
        <f t="shared" ca="1" si="19"/>
        <v>2.4596600799976236</v>
      </c>
      <c r="Y71" s="227">
        <f t="shared" ca="1" si="19"/>
        <v>2.5186982847140236</v>
      </c>
      <c r="Z71" s="227">
        <f t="shared" ca="1" si="19"/>
        <v>2.5781603170185323</v>
      </c>
      <c r="AA71" s="227">
        <f t="shared" ref="AA71:AP86" ca="1" si="20">AA$70/Z$70*Z71</f>
        <v>2.6380461769111503</v>
      </c>
      <c r="AB71" s="227">
        <f t="shared" ca="1" si="20"/>
        <v>2.6983558643918761</v>
      </c>
      <c r="AC71" s="227">
        <f t="shared" ca="1" si="20"/>
        <v>2.7539062978693556</v>
      </c>
      <c r="AD71" s="227">
        <f t="shared" ca="1" si="20"/>
        <v>2.8094567313468355</v>
      </c>
      <c r="AE71" s="227">
        <f t="shared" ca="1" si="20"/>
        <v>2.8650071648243149</v>
      </c>
      <c r="AF71" s="227">
        <f t="shared" ca="1" si="20"/>
        <v>2.9205575983017944</v>
      </c>
      <c r="AG71" s="227">
        <f t="shared" ca="1" si="20"/>
        <v>2.9761080317792734</v>
      </c>
      <c r="AH71" s="227">
        <f t="shared" ca="1" si="20"/>
        <v>3.0425753186474065</v>
      </c>
      <c r="AI71" s="227">
        <f t="shared" ca="1" si="20"/>
        <v>3.1090426055155391</v>
      </c>
      <c r="AJ71" s="227">
        <f t="shared" ca="1" si="20"/>
        <v>3.1755098923836722</v>
      </c>
      <c r="AK71" s="227">
        <f t="shared" ca="1" si="20"/>
        <v>3.2419771792518053</v>
      </c>
      <c r="AL71" s="227">
        <f t="shared" ca="1" si="20"/>
        <v>3.3084444661199375</v>
      </c>
      <c r="AM71" s="227">
        <f t="shared" ca="1" si="20"/>
        <v>3.6121410867725521</v>
      </c>
      <c r="AN71" s="227">
        <f t="shared" ca="1" si="20"/>
        <v>3.9036218165452983</v>
      </c>
      <c r="AO71" s="227">
        <f t="shared" ca="1" si="20"/>
        <v>4.5008351487839624</v>
      </c>
      <c r="AP71" s="227">
        <f t="shared" ca="1" si="20"/>
        <v>5.0960124992093201</v>
      </c>
    </row>
    <row r="72" spans="1:48">
      <c r="A72" s="61" t="str">
        <f>'[5]TS BYDem'!A11</f>
        <v/>
      </c>
      <c r="B72" s="227" t="s">
        <v>295</v>
      </c>
      <c r="C72" s="227" t="s">
        <v>138</v>
      </c>
      <c r="D72" s="227" t="str">
        <f>'[5]TS BYDem'!D11</f>
        <v>IMIA</v>
      </c>
      <c r="E72" s="227" t="s">
        <v>138</v>
      </c>
      <c r="F72" s="227" t="s">
        <v>138</v>
      </c>
      <c r="G72" s="227" t="s">
        <v>138</v>
      </c>
      <c r="H72" s="227" t="s">
        <v>138</v>
      </c>
      <c r="I72" s="227">
        <v>0</v>
      </c>
      <c r="J72" s="227">
        <f>INDEX('[5]TS BYDem'!$J$10:$J$203,MATCH(D72,'[5]TS BYDem'!$D$10:$D$203,0))</f>
        <v>0.99318058118269725</v>
      </c>
      <c r="K72" s="227">
        <f t="shared" ca="1" si="19"/>
        <v>1.0088645797424156</v>
      </c>
      <c r="L72" s="227">
        <f t="shared" ca="1" si="19"/>
        <v>1.0246197764437415</v>
      </c>
      <c r="M72" s="234">
        <f t="shared" ref="M72:M79" si="21">O72</f>
        <v>1.0228235984706235</v>
      </c>
      <c r="N72" s="234">
        <f t="shared" ref="N72:N81" si="22">O72</f>
        <v>1.0228235984706235</v>
      </c>
      <c r="O72" s="234">
        <f>INDEX('[5]TS BYDem'!$O$10:$O$203,MATCH(D72,'[5]TS BYDem'!$D$10:$D$203,0))</f>
        <v>1.0228235984706235</v>
      </c>
      <c r="P72" s="227">
        <f t="shared" ca="1" si="19"/>
        <v>1.0258445831755101</v>
      </c>
      <c r="Q72" s="227">
        <f t="shared" ca="1" si="19"/>
        <v>1.028866863732794</v>
      </c>
      <c r="R72" s="227">
        <f t="shared" ca="1" si="19"/>
        <v>1.0318904401424758</v>
      </c>
      <c r="S72" s="227">
        <f t="shared" ca="1" si="19"/>
        <v>1.0484111172315607</v>
      </c>
      <c r="T72" s="227">
        <f t="shared" ca="1" si="19"/>
        <v>1.0650387660527394</v>
      </c>
      <c r="U72" s="227">
        <f t="shared" ca="1" si="19"/>
        <v>1.0817733866060122</v>
      </c>
      <c r="V72" s="227">
        <f t="shared" ca="1" si="19"/>
        <v>1.0986149788913793</v>
      </c>
      <c r="W72" s="227">
        <f t="shared" ca="1" si="19"/>
        <v>1.1155635429088406</v>
      </c>
      <c r="X72" s="227">
        <f t="shared" ca="1" si="19"/>
        <v>1.1427967030842137</v>
      </c>
      <c r="Y72" s="227">
        <f t="shared" ca="1" si="19"/>
        <v>1.170226780213399</v>
      </c>
      <c r="Z72" s="227">
        <f t="shared" ca="1" si="19"/>
        <v>1.1978537742963964</v>
      </c>
      <c r="AA72" s="227">
        <f t="shared" ca="1" si="20"/>
        <v>1.2256776853332065</v>
      </c>
      <c r="AB72" s="227">
        <f t="shared" ca="1" si="20"/>
        <v>1.2536985133238285</v>
      </c>
      <c r="AC72" s="227">
        <f t="shared" ca="1" si="20"/>
        <v>1.2795081171586087</v>
      </c>
      <c r="AD72" s="227">
        <f t="shared" ca="1" si="20"/>
        <v>1.3053177209933891</v>
      </c>
      <c r="AE72" s="227">
        <f t="shared" ca="1" si="20"/>
        <v>1.3311273248281692</v>
      </c>
      <c r="AF72" s="227">
        <f t="shared" ca="1" si="20"/>
        <v>1.3569369286629493</v>
      </c>
      <c r="AG72" s="227">
        <f t="shared" ca="1" si="20"/>
        <v>1.3827465324977295</v>
      </c>
      <c r="AH72" s="227">
        <f t="shared" ca="1" si="20"/>
        <v>1.4136282778712319</v>
      </c>
      <c r="AI72" s="227">
        <f t="shared" ca="1" si="20"/>
        <v>1.4445100232447341</v>
      </c>
      <c r="AJ72" s="227">
        <f t="shared" ca="1" si="20"/>
        <v>1.4753917686182365</v>
      </c>
      <c r="AK72" s="227">
        <f t="shared" ca="1" si="20"/>
        <v>1.5062735139917389</v>
      </c>
      <c r="AL72" s="227">
        <f t="shared" ca="1" si="20"/>
        <v>1.5371552593652409</v>
      </c>
      <c r="AM72" s="227">
        <f t="shared" ca="1" si="20"/>
        <v>1.6782574789938818</v>
      </c>
      <c r="AN72" s="227">
        <f t="shared" ca="1" si="20"/>
        <v>1.8136840038644226</v>
      </c>
      <c r="AO72" s="227">
        <f t="shared" ca="1" si="20"/>
        <v>2.0911586974899508</v>
      </c>
      <c r="AP72" s="227">
        <f t="shared" ca="1" si="20"/>
        <v>2.3676874419891312</v>
      </c>
    </row>
    <row r="73" spans="1:48">
      <c r="A73" s="61" t="str">
        <f>'[5]TS BYDem'!A12</f>
        <v/>
      </c>
      <c r="B73" s="227" t="s">
        <v>295</v>
      </c>
      <c r="C73" s="227" t="s">
        <v>138</v>
      </c>
      <c r="D73" s="227" t="str">
        <f>'[5]TS BYDem'!D12</f>
        <v>IMIL</v>
      </c>
      <c r="E73" s="227" t="s">
        <v>138</v>
      </c>
      <c r="F73" s="227" t="s">
        <v>138</v>
      </c>
      <c r="G73" s="227" t="s">
        <v>138</v>
      </c>
      <c r="H73" s="227" t="s">
        <v>138</v>
      </c>
      <c r="I73" s="227">
        <v>0</v>
      </c>
      <c r="J73" s="227">
        <f>INDEX('[5]TS BYDem'!$J$10:$J$203,MATCH(D73,'[5]TS BYDem'!$D$10:$D$203,0))</f>
        <v>1.4429062223319464</v>
      </c>
      <c r="K73" s="227">
        <f t="shared" ca="1" si="19"/>
        <v>1.4656921482165566</v>
      </c>
      <c r="L73" s="227">
        <f t="shared" ca="1" si="19"/>
        <v>1.4885815117272041</v>
      </c>
      <c r="M73" s="234">
        <f t="shared" si="21"/>
        <v>1.4859720000000001</v>
      </c>
      <c r="N73" s="234">
        <f t="shared" si="22"/>
        <v>1.4859720000000001</v>
      </c>
      <c r="O73" s="234">
        <f>INDEX('[5]TS BYDem'!$O$10:$O$203,MATCH(D73,'[5]TS BYDem'!$D$10:$D$203,0))</f>
        <v>1.4859720000000001</v>
      </c>
      <c r="P73" s="227">
        <f t="shared" ca="1" si="19"/>
        <v>1.4903609275634646</v>
      </c>
      <c r="Q73" s="227">
        <f t="shared" ca="1" si="19"/>
        <v>1.4947517377588724</v>
      </c>
      <c r="R73" s="227">
        <f t="shared" ca="1" si="19"/>
        <v>1.4991444305862236</v>
      </c>
      <c r="S73" s="227">
        <f t="shared" ca="1" si="19"/>
        <v>1.5231458943891012</v>
      </c>
      <c r="T73" s="227">
        <f t="shared" ca="1" si="19"/>
        <v>1.5473027681755973</v>
      </c>
      <c r="U73" s="227">
        <f t="shared" ca="1" si="19"/>
        <v>1.5716150519457122</v>
      </c>
      <c r="V73" s="227">
        <f t="shared" ca="1" si="19"/>
        <v>1.5960827456994462</v>
      </c>
      <c r="W73" s="227">
        <f t="shared" ca="1" si="19"/>
        <v>1.6207058494367994</v>
      </c>
      <c r="X73" s="227">
        <f t="shared" ca="1" si="19"/>
        <v>1.6602705539983962</v>
      </c>
      <c r="Y73" s="227">
        <f t="shared" ca="1" si="19"/>
        <v>1.7001213421819661</v>
      </c>
      <c r="Z73" s="227">
        <f t="shared" ca="1" si="19"/>
        <v>1.7402582139875094</v>
      </c>
      <c r="AA73" s="227">
        <f t="shared" ca="1" si="20"/>
        <v>1.7806811694150266</v>
      </c>
      <c r="AB73" s="227">
        <f t="shared" ca="1" si="20"/>
        <v>1.8213902084645166</v>
      </c>
      <c r="AC73" s="227">
        <f t="shared" ca="1" si="20"/>
        <v>1.8588867510618152</v>
      </c>
      <c r="AD73" s="227">
        <f t="shared" ca="1" si="20"/>
        <v>1.8963832936591141</v>
      </c>
      <c r="AE73" s="227">
        <f t="shared" ca="1" si="20"/>
        <v>1.9338798362564127</v>
      </c>
      <c r="AF73" s="227">
        <f t="shared" ca="1" si="20"/>
        <v>1.9713763788537113</v>
      </c>
      <c r="AG73" s="227">
        <f t="shared" ca="1" si="20"/>
        <v>2.0088729214510099</v>
      </c>
      <c r="AH73" s="227">
        <f t="shared" ca="1" si="20"/>
        <v>2.0537383400869995</v>
      </c>
      <c r="AI73" s="227">
        <f t="shared" ca="1" si="20"/>
        <v>2.0986037587229891</v>
      </c>
      <c r="AJ73" s="227">
        <f t="shared" ca="1" si="20"/>
        <v>2.1434691773589787</v>
      </c>
      <c r="AK73" s="227">
        <f t="shared" ca="1" si="20"/>
        <v>2.1883345959949687</v>
      </c>
      <c r="AL73" s="227">
        <f t="shared" ca="1" si="20"/>
        <v>2.2332000146309579</v>
      </c>
      <c r="AM73" s="227">
        <f t="shared" ca="1" si="20"/>
        <v>2.4381952335714727</v>
      </c>
      <c r="AN73" s="227">
        <f t="shared" ca="1" si="20"/>
        <v>2.6349447261680763</v>
      </c>
      <c r="AO73" s="227">
        <f t="shared" ca="1" si="20"/>
        <v>3.0380637254291742</v>
      </c>
      <c r="AP73" s="227">
        <f t="shared" ca="1" si="20"/>
        <v>3.4398084369662905</v>
      </c>
    </row>
    <row r="74" spans="1:48">
      <c r="A74" s="61" t="str">
        <f>'[5]TS BYDem'!A13</f>
        <v/>
      </c>
      <c r="B74" s="227" t="s">
        <v>295</v>
      </c>
      <c r="C74" s="227" t="s">
        <v>138</v>
      </c>
      <c r="D74" s="227" t="str">
        <f>'[5]TS BYDem'!D13</f>
        <v>IMIC</v>
      </c>
      <c r="E74" s="227" t="s">
        <v>138</v>
      </c>
      <c r="F74" s="227" t="s">
        <v>138</v>
      </c>
      <c r="G74" s="227" t="s">
        <v>138</v>
      </c>
      <c r="H74" s="227" t="s">
        <v>138</v>
      </c>
      <c r="I74" s="227">
        <v>0</v>
      </c>
      <c r="J74" s="227">
        <f>INDEX('[5]TS BYDem'!$J$10:$J$203,MATCH(D74,'[5]TS BYDem'!$D$10:$D$203,0))</f>
        <v>17.35324025908308</v>
      </c>
      <c r="K74" s="227">
        <f t="shared" ca="1" si="19"/>
        <v>17.627277227169792</v>
      </c>
      <c r="L74" s="227">
        <f t="shared" ca="1" si="19"/>
        <v>17.902558197083287</v>
      </c>
      <c r="M74" s="234">
        <f t="shared" si="21"/>
        <v>17.871174671764589</v>
      </c>
      <c r="N74" s="234">
        <f t="shared" si="22"/>
        <v>17.871174671764589</v>
      </c>
      <c r="O74" s="234">
        <f>INDEX('[5]TS BYDem'!$O$10:$O$203,MATCH(D74,'[5]TS BYDem'!$D$10:$D$203,0))</f>
        <v>17.871174671764589</v>
      </c>
      <c r="P74" s="227">
        <f t="shared" ca="1" si="19"/>
        <v>17.923958500200385</v>
      </c>
      <c r="Q74" s="227">
        <f t="shared" ca="1" si="19"/>
        <v>17.976764970277006</v>
      </c>
      <c r="R74" s="227">
        <f t="shared" ca="1" si="19"/>
        <v>18.029594081994457</v>
      </c>
      <c r="S74" s="227">
        <f t="shared" ca="1" si="19"/>
        <v>18.318249825170817</v>
      </c>
      <c r="T74" s="227">
        <f t="shared" ca="1" si="19"/>
        <v>18.608774620363622</v>
      </c>
      <c r="U74" s="227">
        <f t="shared" ca="1" si="19"/>
        <v>18.901168467572877</v>
      </c>
      <c r="V74" s="227">
        <f t="shared" ca="1" si="19"/>
        <v>19.195431366798584</v>
      </c>
      <c r="W74" s="227">
        <f t="shared" ca="1" si="19"/>
        <v>19.491563318040747</v>
      </c>
      <c r="X74" s="227">
        <f t="shared" ca="1" si="19"/>
        <v>19.967391763029653</v>
      </c>
      <c r="Y74" s="227">
        <f t="shared" ca="1" si="19"/>
        <v>20.446660818190903</v>
      </c>
      <c r="Z74" s="227">
        <f t="shared" ca="1" si="19"/>
        <v>20.929370483524494</v>
      </c>
      <c r="AA74" s="227">
        <f t="shared" ca="1" si="20"/>
        <v>21.415520759030436</v>
      </c>
      <c r="AB74" s="227">
        <f t="shared" ca="1" si="20"/>
        <v>21.905111644708711</v>
      </c>
      <c r="AC74" s="227">
        <f t="shared" ca="1" si="20"/>
        <v>22.356067155541744</v>
      </c>
      <c r="AD74" s="227">
        <f t="shared" ca="1" si="20"/>
        <v>22.807022666374781</v>
      </c>
      <c r="AE74" s="227">
        <f t="shared" ca="1" si="20"/>
        <v>23.257978177207814</v>
      </c>
      <c r="AF74" s="227">
        <f t="shared" ca="1" si="20"/>
        <v>23.708933688040847</v>
      </c>
      <c r="AG74" s="227">
        <f t="shared" ca="1" si="20"/>
        <v>24.159889198873881</v>
      </c>
      <c r="AH74" s="227">
        <f t="shared" ca="1" si="20"/>
        <v>24.699467154020823</v>
      </c>
      <c r="AI74" s="227">
        <f t="shared" ca="1" si="20"/>
        <v>25.239045109167765</v>
      </c>
      <c r="AJ74" s="227">
        <f t="shared" ca="1" si="20"/>
        <v>25.778623064314708</v>
      </c>
      <c r="AK74" s="227">
        <f t="shared" ca="1" si="20"/>
        <v>26.318201019461654</v>
      </c>
      <c r="AL74" s="227">
        <f t="shared" ca="1" si="20"/>
        <v>26.857778974608593</v>
      </c>
      <c r="AM74" s="227">
        <f t="shared" ca="1" si="20"/>
        <v>29.323172242155064</v>
      </c>
      <c r="AN74" s="227">
        <f t="shared" ca="1" si="20"/>
        <v>31.689397547056473</v>
      </c>
      <c r="AO74" s="227">
        <f t="shared" ca="1" si="20"/>
        <v>36.537544113278464</v>
      </c>
      <c r="AP74" s="227">
        <f t="shared" ca="1" si="20"/>
        <v>41.369162685726323</v>
      </c>
    </row>
    <row r="75" spans="1:48">
      <c r="A75" s="61" t="str">
        <f>'[5]TS BYDem'!A14</f>
        <v/>
      </c>
      <c r="B75" s="227" t="s">
        <v>295</v>
      </c>
      <c r="C75" s="227" t="s">
        <v>138</v>
      </c>
      <c r="D75" s="227" t="str">
        <f>'[5]TS BYDem'!D14</f>
        <v>IMIH</v>
      </c>
      <c r="E75" s="227" t="s">
        <v>138</v>
      </c>
      <c r="F75" s="227" t="s">
        <v>138</v>
      </c>
      <c r="G75" s="227" t="s">
        <v>138</v>
      </c>
      <c r="H75" s="227" t="s">
        <v>138</v>
      </c>
      <c r="I75" s="227">
        <v>0</v>
      </c>
      <c r="J75" s="227">
        <f>INDEX('[5]TS BYDem'!$J$10:$J$203,MATCH(D75,'[5]TS BYDem'!$D$10:$D$203,0))</f>
        <v>7.6954998524370488</v>
      </c>
      <c r="K75" s="227">
        <f t="shared" ca="1" si="19"/>
        <v>7.8170247904883032</v>
      </c>
      <c r="L75" s="227">
        <f t="shared" ca="1" si="19"/>
        <v>7.9391013958784233</v>
      </c>
      <c r="M75" s="234">
        <f t="shared" si="21"/>
        <v>7.9251840000000016</v>
      </c>
      <c r="N75" s="234">
        <f t="shared" si="22"/>
        <v>7.9251840000000016</v>
      </c>
      <c r="O75" s="234">
        <f>INDEX('[5]TS BYDem'!$O$10:$O$203,MATCH(D75,'[5]TS BYDem'!$D$10:$D$203,0))</f>
        <v>7.9251840000000016</v>
      </c>
      <c r="P75" s="227">
        <f t="shared" ca="1" si="19"/>
        <v>7.9485916136718116</v>
      </c>
      <c r="Q75" s="227">
        <f t="shared" ca="1" si="19"/>
        <v>7.9720092680473194</v>
      </c>
      <c r="R75" s="227">
        <f t="shared" ca="1" si="19"/>
        <v>7.9954369631265259</v>
      </c>
      <c r="S75" s="227">
        <f t="shared" ca="1" si="19"/>
        <v>8.1234447700752064</v>
      </c>
      <c r="T75" s="227">
        <f t="shared" ca="1" si="19"/>
        <v>8.2522814302698517</v>
      </c>
      <c r="U75" s="227">
        <f t="shared" ca="1" si="19"/>
        <v>8.3819469437104654</v>
      </c>
      <c r="V75" s="227">
        <f t="shared" ca="1" si="19"/>
        <v>8.5124413103970475</v>
      </c>
      <c r="W75" s="227">
        <f t="shared" ca="1" si="19"/>
        <v>8.643764530329598</v>
      </c>
      <c r="X75" s="227">
        <f t="shared" ca="1" si="19"/>
        <v>8.8547762879914469</v>
      </c>
      <c r="Y75" s="227">
        <f t="shared" ca="1" si="19"/>
        <v>9.067313824970487</v>
      </c>
      <c r="Z75" s="227">
        <f t="shared" ca="1" si="19"/>
        <v>9.2813771412667183</v>
      </c>
      <c r="AA75" s="227">
        <f t="shared" ca="1" si="20"/>
        <v>9.4969662368801426</v>
      </c>
      <c r="AB75" s="227">
        <f t="shared" ca="1" si="20"/>
        <v>9.7140811118107564</v>
      </c>
      <c r="AC75" s="227">
        <f t="shared" ca="1" si="20"/>
        <v>9.914062672329683</v>
      </c>
      <c r="AD75" s="227">
        <f t="shared" ca="1" si="20"/>
        <v>10.11404423284861</v>
      </c>
      <c r="AE75" s="227">
        <f t="shared" ca="1" si="20"/>
        <v>10.314025793367534</v>
      </c>
      <c r="AF75" s="227">
        <f t="shared" ca="1" si="20"/>
        <v>10.514007353886461</v>
      </c>
      <c r="AG75" s="227">
        <f t="shared" ca="1" si="20"/>
        <v>10.713988914405386</v>
      </c>
      <c r="AH75" s="227">
        <f t="shared" ca="1" si="20"/>
        <v>10.953271147130664</v>
      </c>
      <c r="AI75" s="227">
        <f t="shared" ca="1" si="20"/>
        <v>11.192553379855942</v>
      </c>
      <c r="AJ75" s="227">
        <f t="shared" ca="1" si="20"/>
        <v>11.431835612581221</v>
      </c>
      <c r="AK75" s="227">
        <f t="shared" ca="1" si="20"/>
        <v>11.671117845306501</v>
      </c>
      <c r="AL75" s="227">
        <f t="shared" ca="1" si="20"/>
        <v>11.910400078031778</v>
      </c>
      <c r="AM75" s="227">
        <f t="shared" ca="1" si="20"/>
        <v>13.00370791238119</v>
      </c>
      <c r="AN75" s="227">
        <f t="shared" ca="1" si="20"/>
        <v>14.053038539563076</v>
      </c>
      <c r="AO75" s="227">
        <f t="shared" ca="1" si="20"/>
        <v>16.203006535622265</v>
      </c>
      <c r="AP75" s="227">
        <f t="shared" ca="1" si="20"/>
        <v>18.345644997153553</v>
      </c>
    </row>
    <row r="76" spans="1:48">
      <c r="A76" s="61" t="str">
        <f>'[5]TS BYDem'!A15</f>
        <v/>
      </c>
      <c r="B76" s="227" t="s">
        <v>295</v>
      </c>
      <c r="C76" s="227" t="s">
        <v>138</v>
      </c>
      <c r="D76" s="227" t="str">
        <f>'[5]TS BYDem'!D15</f>
        <v>IMIP</v>
      </c>
      <c r="E76" s="227" t="s">
        <v>138</v>
      </c>
      <c r="F76" s="227" t="s">
        <v>138</v>
      </c>
      <c r="G76" s="227" t="s">
        <v>138</v>
      </c>
      <c r="H76" s="227" t="s">
        <v>138</v>
      </c>
      <c r="I76" s="227">
        <v>0</v>
      </c>
      <c r="J76" s="227">
        <f>INDEX('[5]TS BYDem'!$J$10:$J$203,MATCH(D76,'[5]TS BYDem'!$D$10:$D$203,0))</f>
        <v>15.294517272248457</v>
      </c>
      <c r="K76" s="227">
        <f t="shared" ca="1" si="19"/>
        <v>15.53604352781004</v>
      </c>
      <c r="L76" s="227">
        <f t="shared" ca="1" si="19"/>
        <v>15.778666201512694</v>
      </c>
      <c r="M76" s="234">
        <f t="shared" si="21"/>
        <v>15.751005899293361</v>
      </c>
      <c r="N76" s="234">
        <f t="shared" si="22"/>
        <v>15.751005899293361</v>
      </c>
      <c r="O76" s="234">
        <f>INDEX('[5]TS BYDem'!$O$10:$O$203,MATCH(D76,'[5]TS BYDem'!$D$10:$D$203,0))</f>
        <v>15.751005899293361</v>
      </c>
      <c r="P76" s="227">
        <f t="shared" ca="1" si="19"/>
        <v>15.797527653366586</v>
      </c>
      <c r="Q76" s="227">
        <f t="shared" ca="1" si="19"/>
        <v>15.844069362961751</v>
      </c>
      <c r="R76" s="227">
        <f t="shared" ca="1" si="19"/>
        <v>15.890631028078854</v>
      </c>
      <c r="S76" s="227">
        <f t="shared" ca="1" si="19"/>
        <v>16.145041742379526</v>
      </c>
      <c r="T76" s="227">
        <f t="shared" ca="1" si="19"/>
        <v>16.401099771413442</v>
      </c>
      <c r="U76" s="227">
        <f t="shared" ca="1" si="19"/>
        <v>16.658805115180602</v>
      </c>
      <c r="V76" s="227">
        <f t="shared" ca="1" si="19"/>
        <v>16.91815777368101</v>
      </c>
      <c r="W76" s="227">
        <f t="shared" ca="1" si="19"/>
        <v>17.179157746914665</v>
      </c>
      <c r="X76" s="227">
        <f t="shared" ca="1" si="19"/>
        <v>17.598535699496214</v>
      </c>
      <c r="Y76" s="227">
        <f t="shared" ca="1" si="19"/>
        <v>18.02094608123349</v>
      </c>
      <c r="Z76" s="227">
        <f t="shared" ca="1" si="19"/>
        <v>18.446388892126489</v>
      </c>
      <c r="AA76" s="227">
        <f t="shared" ca="1" si="20"/>
        <v>18.874864132175222</v>
      </c>
      <c r="AB76" s="227">
        <f t="shared" ca="1" si="20"/>
        <v>19.306371801379676</v>
      </c>
      <c r="AC76" s="227">
        <f t="shared" ca="1" si="20"/>
        <v>19.703827650920015</v>
      </c>
      <c r="AD76" s="227">
        <f t="shared" ca="1" si="20"/>
        <v>20.101283500460355</v>
      </c>
      <c r="AE76" s="227">
        <f t="shared" ca="1" si="20"/>
        <v>20.49873935000069</v>
      </c>
      <c r="AF76" s="227">
        <f t="shared" ca="1" si="20"/>
        <v>20.89619519954103</v>
      </c>
      <c r="AG76" s="227">
        <f t="shared" ca="1" si="20"/>
        <v>21.293651049081365</v>
      </c>
      <c r="AH76" s="227">
        <f t="shared" ca="1" si="20"/>
        <v>21.769215510329452</v>
      </c>
      <c r="AI76" s="227">
        <f t="shared" ca="1" si="20"/>
        <v>22.244779971577536</v>
      </c>
      <c r="AJ76" s="227">
        <f t="shared" ca="1" si="20"/>
        <v>22.720344432825623</v>
      </c>
      <c r="AK76" s="227">
        <f t="shared" ca="1" si="20"/>
        <v>23.19590889407371</v>
      </c>
      <c r="AL76" s="227">
        <f t="shared" ca="1" si="20"/>
        <v>23.67147335532179</v>
      </c>
      <c r="AM76" s="227">
        <f t="shared" ca="1" si="20"/>
        <v>25.844381662382073</v>
      </c>
      <c r="AN76" s="227">
        <f t="shared" ca="1" si="20"/>
        <v>27.929886919932066</v>
      </c>
      <c r="AO76" s="227">
        <f t="shared" ca="1" si="20"/>
        <v>32.202867659460665</v>
      </c>
      <c r="AP76" s="227">
        <f t="shared" ca="1" si="20"/>
        <v>36.461281224070916</v>
      </c>
    </row>
    <row r="77" spans="1:48">
      <c r="A77" s="61" t="str">
        <f>'[5]TS BYDem'!A16</f>
        <v/>
      </c>
      <c r="B77" s="227" t="s">
        <v>295</v>
      </c>
      <c r="C77" s="227" t="s">
        <v>138</v>
      </c>
      <c r="D77" s="227" t="str">
        <f>'[5]TS BYDem'!D16</f>
        <v>IMIF</v>
      </c>
      <c r="E77" s="227" t="s">
        <v>138</v>
      </c>
      <c r="F77" s="227" t="s">
        <v>138</v>
      </c>
      <c r="G77" s="227" t="s">
        <v>138</v>
      </c>
      <c r="H77" s="227" t="s">
        <v>138</v>
      </c>
      <c r="I77" s="227">
        <v>0</v>
      </c>
      <c r="J77" s="227">
        <f>INDEX('[5]TS BYDem'!$J$10:$J$203,MATCH(D77,'[5]TS BYDem'!$D$10:$D$203,0))</f>
        <v>5.8889063414920679</v>
      </c>
      <c r="K77" s="227">
        <f t="shared" ca="1" si="19"/>
        <v>5.9819021172132283</v>
      </c>
      <c r="L77" s="227">
        <f t="shared" ca="1" si="19"/>
        <v>6.0753200509946241</v>
      </c>
      <c r="M77" s="234">
        <f t="shared" si="21"/>
        <v>6.0646698992933636</v>
      </c>
      <c r="N77" s="234">
        <f t="shared" si="22"/>
        <v>6.0646698992933636</v>
      </c>
      <c r="O77" s="234">
        <f>INDEX('[5]TS BYDem'!$O$10:$O$203,MATCH(D77,'[5]TS BYDem'!$D$10:$D$203,0))</f>
        <v>6.0646698992933636</v>
      </c>
      <c r="P77" s="227">
        <f t="shared" ca="1" si="19"/>
        <v>6.0825823477677101</v>
      </c>
      <c r="Q77" s="227">
        <f t="shared" ca="1" si="19"/>
        <v>6.1005024797928087</v>
      </c>
      <c r="R77" s="227">
        <f t="shared" ca="1" si="19"/>
        <v>6.1184302953686602</v>
      </c>
      <c r="S77" s="227">
        <f t="shared" ca="1" si="19"/>
        <v>6.2163870233987248</v>
      </c>
      <c r="T77" s="227">
        <f t="shared" ca="1" si="19"/>
        <v>6.3149780233058506</v>
      </c>
      <c r="U77" s="227">
        <f t="shared" ca="1" si="19"/>
        <v>6.4142032950900392</v>
      </c>
      <c r="V77" s="227">
        <f t="shared" ca="1" si="19"/>
        <v>6.5140628387512916</v>
      </c>
      <c r="W77" s="227">
        <f t="shared" ca="1" si="19"/>
        <v>6.6145566542896086</v>
      </c>
      <c r="X77" s="227">
        <f t="shared" ca="1" si="19"/>
        <v>6.7760313475066747</v>
      </c>
      <c r="Y77" s="227">
        <f t="shared" ca="1" si="19"/>
        <v>6.9386736284917889</v>
      </c>
      <c r="Z77" s="227">
        <f t="shared" ca="1" si="19"/>
        <v>7.1024834972449522</v>
      </c>
      <c r="AA77" s="227">
        <f t="shared" ca="1" si="20"/>
        <v>7.2674609537661654</v>
      </c>
      <c r="AB77" s="227">
        <f t="shared" ca="1" si="20"/>
        <v>7.433605998055425</v>
      </c>
      <c r="AC77" s="227">
        <f t="shared" ca="1" si="20"/>
        <v>7.5866399402948534</v>
      </c>
      <c r="AD77" s="227">
        <f t="shared" ca="1" si="20"/>
        <v>7.7396738825342828</v>
      </c>
      <c r="AE77" s="227">
        <f t="shared" ca="1" si="20"/>
        <v>7.8927078247737112</v>
      </c>
      <c r="AF77" s="227">
        <f t="shared" ca="1" si="20"/>
        <v>8.0457417670131406</v>
      </c>
      <c r="AG77" s="227">
        <f t="shared" ca="1" si="20"/>
        <v>8.198775709252569</v>
      </c>
      <c r="AH77" s="227">
        <f t="shared" ca="1" si="20"/>
        <v>8.3818841082808699</v>
      </c>
      <c r="AI77" s="227">
        <f t="shared" ca="1" si="20"/>
        <v>8.5649925073091708</v>
      </c>
      <c r="AJ77" s="227">
        <f t="shared" ca="1" si="20"/>
        <v>8.7481009063374717</v>
      </c>
      <c r="AK77" s="227">
        <f t="shared" ca="1" si="20"/>
        <v>8.9312093053657726</v>
      </c>
      <c r="AL77" s="227">
        <f t="shared" ca="1" si="20"/>
        <v>9.1143177043940717</v>
      </c>
      <c r="AM77" s="227">
        <f t="shared" ca="1" si="20"/>
        <v>9.9509608805828513</v>
      </c>
      <c r="AN77" s="227">
        <f t="shared" ca="1" si="20"/>
        <v>10.753950927132761</v>
      </c>
      <c r="AO77" s="227">
        <f t="shared" ca="1" si="20"/>
        <v>12.399193004811242</v>
      </c>
      <c r="AP77" s="227">
        <f t="shared" ca="1" si="20"/>
        <v>14.038826227549924</v>
      </c>
    </row>
    <row r="78" spans="1:48">
      <c r="A78" s="61" t="str">
        <f>'[5]TS BYDem'!A17</f>
        <v/>
      </c>
      <c r="B78" s="227" t="s">
        <v>295</v>
      </c>
      <c r="C78" s="227" t="s">
        <v>138</v>
      </c>
      <c r="D78" s="227" t="str">
        <f>'[5]TS BYDem'!D17</f>
        <v>IMIO</v>
      </c>
      <c r="E78" s="227" t="s">
        <v>138</v>
      </c>
      <c r="F78" s="227" t="s">
        <v>138</v>
      </c>
      <c r="G78" s="227" t="s">
        <v>138</v>
      </c>
      <c r="H78" s="227" t="s">
        <v>138</v>
      </c>
      <c r="I78" s="227">
        <v>0</v>
      </c>
      <c r="J78" s="227">
        <f>INDEX('[5]TS BYDem'!$J$10:$J$203,MATCH(D78,'[5]TS BYDem'!$D$10:$D$203,0))</f>
        <v>28.894976807848312</v>
      </c>
      <c r="K78" s="227">
        <f t="shared" ca="1" si="19"/>
        <v>29.351277286556549</v>
      </c>
      <c r="L78" s="227">
        <f t="shared" ca="1" si="19"/>
        <v>29.809649159620946</v>
      </c>
      <c r="M78" s="234">
        <f t="shared" si="21"/>
        <v>29.757392277177463</v>
      </c>
      <c r="N78" s="234">
        <f t="shared" si="22"/>
        <v>29.757392277177463</v>
      </c>
      <c r="O78" s="234">
        <f>INDEX('[5]TS BYDem'!$O$10:$O$203,MATCH(D78,'[5]TS BYDem'!$D$10:$D$203,0))</f>
        <v>29.757392277177463</v>
      </c>
      <c r="P78" s="227">
        <f t="shared" ca="1" si="19"/>
        <v>29.845282923287975</v>
      </c>
      <c r="Q78" s="227">
        <f t="shared" ca="1" si="19"/>
        <v>29.93321127012047</v>
      </c>
      <c r="R78" s="227">
        <f t="shared" ca="1" si="19"/>
        <v>30.021177317674955</v>
      </c>
      <c r="S78" s="227">
        <f t="shared" ca="1" si="19"/>
        <v>30.501819600038758</v>
      </c>
      <c r="T78" s="227">
        <f t="shared" ca="1" si="19"/>
        <v>30.985574051303672</v>
      </c>
      <c r="U78" s="227">
        <f t="shared" ca="1" si="19"/>
        <v>31.472440671469709</v>
      </c>
      <c r="V78" s="227">
        <f t="shared" ca="1" si="19"/>
        <v>31.962419460536868</v>
      </c>
      <c r="W78" s="227">
        <f t="shared" ca="1" si="19"/>
        <v>32.455510418505156</v>
      </c>
      <c r="X78" s="227">
        <f t="shared" ca="1" si="19"/>
        <v>33.247815006996774</v>
      </c>
      <c r="Y78" s="227">
        <f t="shared" ca="1" si="19"/>
        <v>34.045848574609892</v>
      </c>
      <c r="Z78" s="227">
        <f t="shared" ca="1" si="19"/>
        <v>34.849611121344509</v>
      </c>
      <c r="AA78" s="227">
        <f t="shared" ca="1" si="20"/>
        <v>35.65910264720064</v>
      </c>
      <c r="AB78" s="227">
        <f t="shared" ca="1" si="20"/>
        <v>36.474323152178265</v>
      </c>
      <c r="AC78" s="227">
        <f t="shared" ca="1" si="20"/>
        <v>37.225211679758672</v>
      </c>
      <c r="AD78" s="227">
        <f t="shared" ca="1" si="20"/>
        <v>37.97610020733908</v>
      </c>
      <c r="AE78" s="227">
        <f t="shared" ca="1" si="20"/>
        <v>38.72698873491948</v>
      </c>
      <c r="AF78" s="227">
        <f t="shared" ca="1" si="20"/>
        <v>39.477877262499881</v>
      </c>
      <c r="AG78" s="227">
        <f t="shared" ca="1" si="20"/>
        <v>40.228765790080281</v>
      </c>
      <c r="AH78" s="227">
        <f t="shared" ca="1" si="20"/>
        <v>41.127220042267361</v>
      </c>
      <c r="AI78" s="227">
        <f t="shared" ca="1" si="20"/>
        <v>42.025674294454433</v>
      </c>
      <c r="AJ78" s="227">
        <f t="shared" ca="1" si="20"/>
        <v>42.924128546641512</v>
      </c>
      <c r="AK78" s="227">
        <f t="shared" ca="1" si="20"/>
        <v>43.822582798828591</v>
      </c>
      <c r="AL78" s="227">
        <f t="shared" ca="1" si="20"/>
        <v>44.721037051015657</v>
      </c>
      <c r="AM78" s="227">
        <f t="shared" ca="1" si="20"/>
        <v>48.826177083909123</v>
      </c>
      <c r="AN78" s="227">
        <f t="shared" ca="1" si="20"/>
        <v>52.766191991008817</v>
      </c>
      <c r="AO78" s="227">
        <f t="shared" ca="1" si="20"/>
        <v>60.838867785300842</v>
      </c>
      <c r="AP78" s="227">
        <f t="shared" ca="1" si="20"/>
        <v>68.884022725293974</v>
      </c>
    </row>
    <row r="79" spans="1:48">
      <c r="A79" s="61" t="str">
        <f>'[5]TS BYDem'!A18</f>
        <v/>
      </c>
      <c r="B79" s="227" t="s">
        <v>295</v>
      </c>
      <c r="C79" s="227" t="s">
        <v>138</v>
      </c>
      <c r="D79" s="227" t="str">
        <f>'[5]TS BYDem'!D18</f>
        <v>IMIE</v>
      </c>
      <c r="E79" s="227" t="s">
        <v>138</v>
      </c>
      <c r="F79" s="227" t="s">
        <v>138</v>
      </c>
      <c r="G79" s="227" t="s">
        <v>138</v>
      </c>
      <c r="H79" s="227" t="s">
        <v>138</v>
      </c>
      <c r="I79" s="227">
        <v>0</v>
      </c>
      <c r="J79" s="227">
        <f>INDEX('[5]TS BYDem'!$J$10:$J$203,MATCH(D79,'[5]TS BYDem'!$D$10:$D$203,0))</f>
        <v>0.18682963530638833</v>
      </c>
      <c r="K79" s="227">
        <f t="shared" ca="1" si="19"/>
        <v>0.18977999074685489</v>
      </c>
      <c r="L79" s="227">
        <f t="shared" ca="1" si="19"/>
        <v>0.1927437394443817</v>
      </c>
      <c r="M79" s="234">
        <f t="shared" si="21"/>
        <v>0.19240585599999999</v>
      </c>
      <c r="N79" s="234">
        <f t="shared" si="22"/>
        <v>0.19240585599999999</v>
      </c>
      <c r="O79" s="234">
        <f>INDEX('[5]TS BYDem'!$O$10:$O$203,MATCH(D79,'[5]TS BYDem'!$D$10:$D$203,0))</f>
        <v>0.19240585599999999</v>
      </c>
      <c r="P79" s="227">
        <f t="shared" ca="1" si="19"/>
        <v>0.19297414084303227</v>
      </c>
      <c r="Q79" s="227">
        <f t="shared" ca="1" si="19"/>
        <v>0.19354266945203766</v>
      </c>
      <c r="R79" s="227">
        <f t="shared" ca="1" si="19"/>
        <v>0.19411144182701617</v>
      </c>
      <c r="S79" s="227">
        <f t="shared" ca="1" si="19"/>
        <v>0.19721918691793691</v>
      </c>
      <c r="T79" s="227">
        <f t="shared" ca="1" si="19"/>
        <v>0.20034705472377359</v>
      </c>
      <c r="U79" s="227">
        <f t="shared" ca="1" si="19"/>
        <v>0.20349504524452625</v>
      </c>
      <c r="V79" s="227">
        <f t="shared" ca="1" si="19"/>
        <v>0.20666315848019493</v>
      </c>
      <c r="W79" s="227">
        <f t="shared" ca="1" si="19"/>
        <v>0.20985139443077963</v>
      </c>
      <c r="X79" s="227">
        <f t="shared" ca="1" si="19"/>
        <v>0.2149742909917923</v>
      </c>
      <c r="Y79" s="227">
        <f t="shared" ca="1" si="19"/>
        <v>0.22013423008400565</v>
      </c>
      <c r="Z79" s="227">
        <f t="shared" ca="1" si="19"/>
        <v>0.22533121170741971</v>
      </c>
      <c r="AA79" s="227">
        <f t="shared" ca="1" si="20"/>
        <v>0.23056523586203453</v>
      </c>
      <c r="AB79" s="227">
        <f t="shared" ca="1" si="20"/>
        <v>0.23583630254784999</v>
      </c>
      <c r="AC79" s="227">
        <f t="shared" ca="1" si="20"/>
        <v>0.2406914104337817</v>
      </c>
      <c r="AD79" s="227">
        <f t="shared" ca="1" si="20"/>
        <v>0.24554651831971344</v>
      </c>
      <c r="AE79" s="227">
        <f t="shared" ca="1" si="20"/>
        <v>0.25040162620564516</v>
      </c>
      <c r="AF79" s="227">
        <f t="shared" ca="1" si="20"/>
        <v>0.25525673409157684</v>
      </c>
      <c r="AG79" s="227">
        <f t="shared" ca="1" si="20"/>
        <v>0.26011184197750853</v>
      </c>
      <c r="AH79" s="227">
        <f t="shared" ca="1" si="20"/>
        <v>0.26592108284978333</v>
      </c>
      <c r="AI79" s="227">
        <f t="shared" ca="1" si="20"/>
        <v>0.27173032372205813</v>
      </c>
      <c r="AJ79" s="227">
        <f t="shared" ca="1" si="20"/>
        <v>0.27753956459433293</v>
      </c>
      <c r="AK79" s="227">
        <f t="shared" ca="1" si="20"/>
        <v>0.28334880546660779</v>
      </c>
      <c r="AL79" s="227">
        <f t="shared" ca="1" si="20"/>
        <v>0.28915804633888254</v>
      </c>
      <c r="AM79" s="227">
        <f t="shared" ca="1" si="20"/>
        <v>0.31570113098392105</v>
      </c>
      <c r="AN79" s="227">
        <f t="shared" ca="1" si="20"/>
        <v>0.34117654676605907</v>
      </c>
      <c r="AO79" s="227">
        <f t="shared" ca="1" si="20"/>
        <v>0.39337299200371828</v>
      </c>
      <c r="AP79" s="227">
        <f t="shared" ca="1" si="20"/>
        <v>0.44539149243089454</v>
      </c>
    </row>
    <row r="80" spans="1:48">
      <c r="A80" s="61" t="str">
        <f>'[5]TS BYDem'!A19</f>
        <v>*</v>
      </c>
      <c r="B80" s="227" t="s">
        <v>295</v>
      </c>
      <c r="C80" s="227" t="s">
        <v>138</v>
      </c>
      <c r="D80" s="227">
        <f>'[5]TS BYDem'!D19</f>
        <v>0</v>
      </c>
      <c r="E80" s="227" t="s">
        <v>138</v>
      </c>
      <c r="F80" s="227" t="s">
        <v>138</v>
      </c>
      <c r="G80" s="227" t="s">
        <v>138</v>
      </c>
      <c r="H80" s="227" t="s">
        <v>138</v>
      </c>
      <c r="I80" s="227">
        <v>0</v>
      </c>
      <c r="J80" s="227" t="str">
        <f>INDEX('[5]TS BYDem'!$J$10:$J$203,MATCH(D80,'[5]TS BYDem'!$D$10:$D$203,0))</f>
        <v/>
      </c>
      <c r="K80" s="227" t="e">
        <f t="shared" ca="1" si="19"/>
        <v>#VALUE!</v>
      </c>
      <c r="L80" s="227" t="e">
        <f t="shared" ca="1" si="19"/>
        <v>#VALUE!</v>
      </c>
      <c r="M80" s="227" t="e">
        <f t="shared" ca="1" si="19"/>
        <v>#VALUE!</v>
      </c>
      <c r="N80" s="227" t="e">
        <f t="shared" ca="1" si="19"/>
        <v>#VALUE!</v>
      </c>
      <c r="O80" s="227" t="e">
        <f t="shared" ca="1" si="19"/>
        <v>#VALUE!</v>
      </c>
      <c r="P80" s="227" t="e">
        <f t="shared" ca="1" si="19"/>
        <v>#VALUE!</v>
      </c>
      <c r="Q80" s="227" t="e">
        <f t="shared" ca="1" si="19"/>
        <v>#VALUE!</v>
      </c>
      <c r="R80" s="227" t="e">
        <f t="shared" ca="1" si="19"/>
        <v>#VALUE!</v>
      </c>
      <c r="S80" s="227" t="e">
        <f t="shared" ca="1" si="19"/>
        <v>#VALUE!</v>
      </c>
      <c r="T80" s="227" t="e">
        <f t="shared" ca="1" si="19"/>
        <v>#VALUE!</v>
      </c>
      <c r="U80" s="227" t="e">
        <f t="shared" ca="1" si="19"/>
        <v>#VALUE!</v>
      </c>
      <c r="V80" s="227" t="e">
        <f t="shared" ca="1" si="19"/>
        <v>#VALUE!</v>
      </c>
      <c r="W80" s="227" t="e">
        <f t="shared" ca="1" si="19"/>
        <v>#VALUE!</v>
      </c>
      <c r="X80" s="227" t="e">
        <f t="shared" ca="1" si="19"/>
        <v>#VALUE!</v>
      </c>
      <c r="Y80" s="227" t="e">
        <f t="shared" ca="1" si="19"/>
        <v>#VALUE!</v>
      </c>
      <c r="Z80" s="227" t="e">
        <f t="shared" ca="1" si="19"/>
        <v>#VALUE!</v>
      </c>
      <c r="AA80" s="227" t="e">
        <f t="shared" ca="1" si="20"/>
        <v>#VALUE!</v>
      </c>
      <c r="AB80" s="227" t="e">
        <f t="shared" ca="1" si="20"/>
        <v>#VALUE!</v>
      </c>
      <c r="AC80" s="227" t="e">
        <f t="shared" ca="1" si="20"/>
        <v>#VALUE!</v>
      </c>
      <c r="AD80" s="227" t="e">
        <f t="shared" ca="1" si="20"/>
        <v>#VALUE!</v>
      </c>
      <c r="AE80" s="227" t="e">
        <f t="shared" ca="1" si="20"/>
        <v>#VALUE!</v>
      </c>
      <c r="AF80" s="227" t="e">
        <f t="shared" ca="1" si="20"/>
        <v>#VALUE!</v>
      </c>
      <c r="AG80" s="227" t="e">
        <f t="shared" ca="1" si="20"/>
        <v>#VALUE!</v>
      </c>
      <c r="AH80" s="227" t="e">
        <f t="shared" ca="1" si="20"/>
        <v>#VALUE!</v>
      </c>
      <c r="AI80" s="227" t="e">
        <f t="shared" ca="1" si="20"/>
        <v>#VALUE!</v>
      </c>
      <c r="AJ80" s="227" t="e">
        <f t="shared" ca="1" si="20"/>
        <v>#VALUE!</v>
      </c>
      <c r="AK80" s="227" t="e">
        <f t="shared" ca="1" si="20"/>
        <v>#VALUE!</v>
      </c>
      <c r="AL80" s="227" t="e">
        <f t="shared" ca="1" si="20"/>
        <v>#VALUE!</v>
      </c>
      <c r="AM80" s="227" t="e">
        <f t="shared" ca="1" si="20"/>
        <v>#VALUE!</v>
      </c>
      <c r="AN80" s="227" t="e">
        <f t="shared" ca="1" si="20"/>
        <v>#VALUE!</v>
      </c>
      <c r="AO80" s="227" t="e">
        <f t="shared" ca="1" si="20"/>
        <v>#VALUE!</v>
      </c>
      <c r="AP80" s="227" t="e">
        <f t="shared" ca="1" si="20"/>
        <v>#VALUE!</v>
      </c>
    </row>
    <row r="81" spans="1:42">
      <c r="A81" s="61" t="str">
        <f>'[5]TS BYDem'!A20</f>
        <v/>
      </c>
      <c r="B81" s="227" t="s">
        <v>295</v>
      </c>
      <c r="C81" s="227" t="s">
        <v>138</v>
      </c>
      <c r="D81" s="227" t="str">
        <f>'[5]TS BYDem'!D20</f>
        <v>IMIS</v>
      </c>
      <c r="E81" s="227" t="s">
        <v>138</v>
      </c>
      <c r="F81" s="227" t="s">
        <v>138</v>
      </c>
      <c r="G81" s="227" t="s">
        <v>138</v>
      </c>
      <c r="H81" s="227" t="s">
        <v>138</v>
      </c>
      <c r="I81" s="227">
        <v>0</v>
      </c>
      <c r="J81" s="227">
        <f>INDEX('[5]TS BYDem'!$J$10:$J$203,MATCH(D81,'[5]TS BYDem'!$D$10:$D$203,0))</f>
        <v>20.275122960000004</v>
      </c>
      <c r="K81" s="227">
        <f t="shared" ca="1" si="19"/>
        <v>20.595301390113971</v>
      </c>
      <c r="L81" s="227">
        <f t="shared" ca="1" si="19"/>
        <v>20.916933283075448</v>
      </c>
      <c r="M81" s="234">
        <f t="shared" ref="M81" si="23">O81</f>
        <v>0.90805719120000006</v>
      </c>
      <c r="N81" s="234">
        <f t="shared" si="22"/>
        <v>0.90805719120000006</v>
      </c>
      <c r="O81" s="234">
        <f>INDEX('[5]TS BYDem'!$O$10:$O$203,MATCH(D81,'[5]TS BYDem'!$D$10:$D$203,0))</f>
        <v>0.90805719120000006</v>
      </c>
      <c r="P81" s="227">
        <f t="shared" ca="1" si="19"/>
        <v>0.91073920488239768</v>
      </c>
      <c r="Q81" s="227">
        <f t="shared" ca="1" si="19"/>
        <v>0.91342236901545959</v>
      </c>
      <c r="R81" s="227">
        <f t="shared" ca="1" si="19"/>
        <v>0.9161066835991859</v>
      </c>
      <c r="S81" s="227">
        <f t="shared" ca="1" si="19"/>
        <v>0.93077365027522652</v>
      </c>
      <c r="T81" s="227">
        <f t="shared" ca="1" si="19"/>
        <v>0.94553558586939557</v>
      </c>
      <c r="U81" s="227">
        <f t="shared" ca="1" si="19"/>
        <v>0.96039249038169316</v>
      </c>
      <c r="V81" s="227">
        <f t="shared" ca="1" si="19"/>
        <v>0.97534436381211953</v>
      </c>
      <c r="W81" s="227">
        <f t="shared" ca="1" si="19"/>
        <v>0.99039120616067466</v>
      </c>
      <c r="X81" s="227">
        <f t="shared" ca="1" si="19"/>
        <v>1.0145686566744538</v>
      </c>
      <c r="Y81" s="227">
        <f t="shared" ca="1" si="19"/>
        <v>1.0389209289817911</v>
      </c>
      <c r="Z81" s="227">
        <f t="shared" ca="1" si="19"/>
        <v>1.0634480230826868</v>
      </c>
      <c r="AA81" s="227">
        <f t="shared" ca="1" si="20"/>
        <v>1.0881499389771412</v>
      </c>
      <c r="AB81" s="227">
        <f t="shared" ca="1" si="20"/>
        <v>1.1130266766651535</v>
      </c>
      <c r="AC81" s="227">
        <f t="shared" ca="1" si="20"/>
        <v>1.1359403016531171</v>
      </c>
      <c r="AD81" s="227">
        <f t="shared" ca="1" si="20"/>
        <v>1.1588539266410809</v>
      </c>
      <c r="AE81" s="227">
        <f t="shared" ca="1" si="20"/>
        <v>1.1817675516290445</v>
      </c>
      <c r="AF81" s="227">
        <f t="shared" ca="1" si="20"/>
        <v>1.204681176617008</v>
      </c>
      <c r="AG81" s="227">
        <f t="shared" ca="1" si="20"/>
        <v>1.2275948016049714</v>
      </c>
      <c r="AH81" s="227">
        <f t="shared" ca="1" si="20"/>
        <v>1.2550114460832045</v>
      </c>
      <c r="AI81" s="227">
        <f t="shared" ca="1" si="20"/>
        <v>1.2824280905614374</v>
      </c>
      <c r="AJ81" s="227">
        <f t="shared" ca="1" si="20"/>
        <v>1.3098447350396705</v>
      </c>
      <c r="AK81" s="227">
        <f t="shared" ca="1" si="20"/>
        <v>1.3372613795179036</v>
      </c>
      <c r="AL81" s="227">
        <f t="shared" ca="1" si="20"/>
        <v>1.3646780239961365</v>
      </c>
      <c r="AM81" s="227">
        <f t="shared" ca="1" si="20"/>
        <v>1.4899478021080745</v>
      </c>
      <c r="AN81" s="227">
        <f t="shared" ca="1" si="20"/>
        <v>1.6101787294857755</v>
      </c>
      <c r="AO81" s="227">
        <f t="shared" ca="1" si="20"/>
        <v>1.8565192434311175</v>
      </c>
      <c r="AP81" s="227">
        <f t="shared" ca="1" si="20"/>
        <v>2.1020199489207556</v>
      </c>
    </row>
    <row r="82" spans="1:42">
      <c r="A82" s="61" t="str">
        <f>'[5]TS BYDem'!A21</f>
        <v>*</v>
      </c>
      <c r="B82" s="227" t="s">
        <v>295</v>
      </c>
      <c r="C82" s="227" t="s">
        <v>138</v>
      </c>
      <c r="D82" s="227" t="str">
        <f>'[5]TS BYDem'!D21</f>
        <v>IMIS</v>
      </c>
      <c r="E82" s="227" t="s">
        <v>138</v>
      </c>
      <c r="F82" s="227" t="s">
        <v>138</v>
      </c>
      <c r="G82" s="227" t="s">
        <v>138</v>
      </c>
      <c r="H82" s="227" t="s">
        <v>138</v>
      </c>
      <c r="I82" s="227">
        <v>0</v>
      </c>
      <c r="J82" s="227">
        <f>INDEX('[5]TS BYDem'!$J$10:$J$203,MATCH(D82,'[5]TS BYDem'!$D$10:$D$203,0))</f>
        <v>20.275122960000004</v>
      </c>
      <c r="K82" s="227">
        <f t="shared" ca="1" si="19"/>
        <v>20.595301390113971</v>
      </c>
      <c r="L82" s="227">
        <f t="shared" ca="1" si="19"/>
        <v>20.916933283075448</v>
      </c>
      <c r="M82" s="227">
        <f t="shared" ca="1" si="19"/>
        <v>21.240018638884436</v>
      </c>
      <c r="N82" s="227">
        <f t="shared" ca="1" si="19"/>
        <v>21.303070996076407</v>
      </c>
      <c r="O82" s="227">
        <f t="shared" ca="1" si="19"/>
        <v>21.366150422821029</v>
      </c>
      <c r="P82" s="227">
        <f t="shared" ca="1" si="19"/>
        <v>21.429256919118298</v>
      </c>
      <c r="Q82" s="227">
        <f t="shared" ca="1" si="19"/>
        <v>21.492390484968219</v>
      </c>
      <c r="R82" s="227">
        <f t="shared" ca="1" si="19"/>
        <v>21.555551120370794</v>
      </c>
      <c r="S82" s="227">
        <f t="shared" ca="1" si="19"/>
        <v>21.900657815503795</v>
      </c>
      <c r="T82" s="227">
        <f t="shared" ca="1" si="19"/>
        <v>22.247999083756074</v>
      </c>
      <c r="U82" s="227">
        <f t="shared" ca="1" si="19"/>
        <v>22.597574925127638</v>
      </c>
      <c r="V82" s="227">
        <f t="shared" ca="1" si="19"/>
        <v>22.949385339618487</v>
      </c>
      <c r="W82" s="227">
        <f t="shared" ca="1" si="19"/>
        <v>23.303430327228629</v>
      </c>
      <c r="X82" s="227">
        <f t="shared" ca="1" si="19"/>
        <v>23.872314148119973</v>
      </c>
      <c r="Y82" s="227">
        <f t="shared" ca="1" si="19"/>
        <v>24.445311442011199</v>
      </c>
      <c r="Z82" s="227">
        <f t="shared" ca="1" si="19"/>
        <v>25.022422208902313</v>
      </c>
      <c r="AA82" s="227">
        <f t="shared" ca="1" si="20"/>
        <v>25.60364644879332</v>
      </c>
      <c r="AB82" s="227">
        <f t="shared" ca="1" si="20"/>
        <v>26.188984161684207</v>
      </c>
      <c r="AC82" s="227">
        <f t="shared" ca="1" si="20"/>
        <v>26.728130773780261</v>
      </c>
      <c r="AD82" s="227">
        <f t="shared" ca="1" si="20"/>
        <v>27.267277385876319</v>
      </c>
      <c r="AE82" s="227">
        <f t="shared" ca="1" si="20"/>
        <v>27.806423997972374</v>
      </c>
      <c r="AF82" s="227">
        <f t="shared" ca="1" si="20"/>
        <v>28.345570610068428</v>
      </c>
      <c r="AG82" s="227">
        <f t="shared" ca="1" si="20"/>
        <v>28.884717222164479</v>
      </c>
      <c r="AH82" s="227">
        <f t="shared" ca="1" si="20"/>
        <v>29.529817724300045</v>
      </c>
      <c r="AI82" s="227">
        <f t="shared" ca="1" si="20"/>
        <v>30.174918226435612</v>
      </c>
      <c r="AJ82" s="227">
        <f t="shared" ca="1" si="20"/>
        <v>30.820018728571178</v>
      </c>
      <c r="AK82" s="227">
        <f t="shared" ca="1" si="20"/>
        <v>31.465119230706748</v>
      </c>
      <c r="AL82" s="227">
        <f t="shared" ca="1" si="20"/>
        <v>32.11021973284231</v>
      </c>
      <c r="AM82" s="227">
        <f t="shared" ca="1" si="20"/>
        <v>35.057757562520237</v>
      </c>
      <c r="AN82" s="227">
        <f t="shared" ca="1" si="20"/>
        <v>37.886733649844054</v>
      </c>
      <c r="AO82" s="227">
        <f t="shared" ca="1" si="20"/>
        <v>43.683007857238067</v>
      </c>
      <c r="AP82" s="227">
        <f t="shared" ca="1" si="20"/>
        <v>49.459521774239782</v>
      </c>
    </row>
    <row r="83" spans="1:42">
      <c r="A83" s="61" t="str">
        <f>'[5]TS BYDem'!A22</f>
        <v>*</v>
      </c>
      <c r="B83" s="227" t="s">
        <v>295</v>
      </c>
      <c r="C83" s="227" t="s">
        <v>138</v>
      </c>
      <c r="D83" s="227" t="str">
        <f>'[5]TS BYDem'!D22</f>
        <v>IMIS</v>
      </c>
      <c r="E83" s="227" t="s">
        <v>138</v>
      </c>
      <c r="F83" s="227" t="s">
        <v>138</v>
      </c>
      <c r="G83" s="227" t="s">
        <v>138</v>
      </c>
      <c r="H83" s="227" t="s">
        <v>138</v>
      </c>
      <c r="I83" s="227">
        <v>0</v>
      </c>
      <c r="J83" s="227">
        <f>INDEX('[5]TS BYDem'!$J$10:$J$203,MATCH(D83,'[5]TS BYDem'!$D$10:$D$203,0))</f>
        <v>20.275122960000004</v>
      </c>
      <c r="K83" s="227">
        <f t="shared" ca="1" si="19"/>
        <v>20.595301390113971</v>
      </c>
      <c r="L83" s="227">
        <f t="shared" ca="1" si="19"/>
        <v>20.916933283075448</v>
      </c>
      <c r="M83" s="227">
        <f t="shared" ca="1" si="19"/>
        <v>21.240018638884436</v>
      </c>
      <c r="N83" s="227">
        <f t="shared" ca="1" si="19"/>
        <v>21.303070996076407</v>
      </c>
      <c r="O83" s="227">
        <f t="shared" ca="1" si="19"/>
        <v>21.366150422821029</v>
      </c>
      <c r="P83" s="227">
        <f t="shared" ca="1" si="19"/>
        <v>21.429256919118298</v>
      </c>
      <c r="Q83" s="227">
        <f t="shared" ca="1" si="19"/>
        <v>21.492390484968219</v>
      </c>
      <c r="R83" s="227">
        <f t="shared" ca="1" si="19"/>
        <v>21.555551120370794</v>
      </c>
      <c r="S83" s="227">
        <f t="shared" ca="1" si="19"/>
        <v>21.900657815503795</v>
      </c>
      <c r="T83" s="227">
        <f t="shared" ca="1" si="19"/>
        <v>22.247999083756074</v>
      </c>
      <c r="U83" s="227">
        <f t="shared" ca="1" si="19"/>
        <v>22.597574925127638</v>
      </c>
      <c r="V83" s="227">
        <f t="shared" ca="1" si="19"/>
        <v>22.949385339618487</v>
      </c>
      <c r="W83" s="227">
        <f t="shared" ca="1" si="19"/>
        <v>23.303430327228629</v>
      </c>
      <c r="X83" s="227">
        <f t="shared" ca="1" si="19"/>
        <v>23.872314148119973</v>
      </c>
      <c r="Y83" s="227">
        <f t="shared" ca="1" si="19"/>
        <v>24.445311442011199</v>
      </c>
      <c r="Z83" s="227">
        <f t="shared" ca="1" si="19"/>
        <v>25.022422208902313</v>
      </c>
      <c r="AA83" s="227">
        <f t="shared" ca="1" si="20"/>
        <v>25.60364644879332</v>
      </c>
      <c r="AB83" s="227">
        <f t="shared" ca="1" si="20"/>
        <v>26.188984161684207</v>
      </c>
      <c r="AC83" s="227">
        <f t="shared" ca="1" si="20"/>
        <v>26.728130773780261</v>
      </c>
      <c r="AD83" s="227">
        <f t="shared" ca="1" si="20"/>
        <v>27.267277385876319</v>
      </c>
      <c r="AE83" s="227">
        <f t="shared" ca="1" si="20"/>
        <v>27.806423997972374</v>
      </c>
      <c r="AF83" s="227">
        <f t="shared" ca="1" si="20"/>
        <v>28.345570610068428</v>
      </c>
      <c r="AG83" s="227">
        <f t="shared" ca="1" si="20"/>
        <v>28.884717222164479</v>
      </c>
      <c r="AH83" s="227">
        <f t="shared" ca="1" si="20"/>
        <v>29.529817724300045</v>
      </c>
      <c r="AI83" s="227">
        <f t="shared" ca="1" si="20"/>
        <v>30.174918226435612</v>
      </c>
      <c r="AJ83" s="227">
        <f t="shared" ca="1" si="20"/>
        <v>30.820018728571178</v>
      </c>
      <c r="AK83" s="227">
        <f t="shared" ca="1" si="20"/>
        <v>31.465119230706748</v>
      </c>
      <c r="AL83" s="227">
        <f t="shared" ca="1" si="20"/>
        <v>32.11021973284231</v>
      </c>
      <c r="AM83" s="227">
        <f t="shared" ca="1" si="20"/>
        <v>35.057757562520237</v>
      </c>
      <c r="AN83" s="227">
        <f t="shared" ca="1" si="20"/>
        <v>37.886733649844054</v>
      </c>
      <c r="AO83" s="227">
        <f t="shared" ca="1" si="20"/>
        <v>43.683007857238067</v>
      </c>
      <c r="AP83" s="227">
        <f t="shared" ca="1" si="20"/>
        <v>49.459521774239782</v>
      </c>
    </row>
    <row r="84" spans="1:42">
      <c r="A84" s="61" t="str">
        <f>'[5]TS BYDem'!A23</f>
        <v>*</v>
      </c>
      <c r="B84" s="227" t="s">
        <v>295</v>
      </c>
      <c r="C84" s="227" t="s">
        <v>138</v>
      </c>
      <c r="D84" s="227" t="str">
        <f>'[5]TS BYDem'!D23</f>
        <v>IMIS</v>
      </c>
      <c r="E84" s="227" t="s">
        <v>138</v>
      </c>
      <c r="F84" s="227" t="s">
        <v>138</v>
      </c>
      <c r="G84" s="227" t="s">
        <v>138</v>
      </c>
      <c r="H84" s="227" t="s">
        <v>138</v>
      </c>
      <c r="I84" s="227">
        <v>0</v>
      </c>
      <c r="J84" s="227">
        <f>INDEX('[5]TS BYDem'!$J$10:$J$203,MATCH(D84,'[5]TS BYDem'!$D$10:$D$203,0))</f>
        <v>20.275122960000004</v>
      </c>
      <c r="K84" s="227">
        <f t="shared" ca="1" si="19"/>
        <v>20.595301390113971</v>
      </c>
      <c r="L84" s="227">
        <f t="shared" ca="1" si="19"/>
        <v>20.916933283075448</v>
      </c>
      <c r="M84" s="227">
        <f t="shared" ca="1" si="19"/>
        <v>21.240018638884436</v>
      </c>
      <c r="N84" s="227">
        <f t="shared" ca="1" si="19"/>
        <v>21.303070996076407</v>
      </c>
      <c r="O84" s="227">
        <f t="shared" ca="1" si="19"/>
        <v>21.366150422821029</v>
      </c>
      <c r="P84" s="227">
        <f t="shared" ca="1" si="19"/>
        <v>21.429256919118298</v>
      </c>
      <c r="Q84" s="227">
        <f t="shared" ca="1" si="19"/>
        <v>21.492390484968219</v>
      </c>
      <c r="R84" s="227">
        <f t="shared" ca="1" si="19"/>
        <v>21.555551120370794</v>
      </c>
      <c r="S84" s="227">
        <f t="shared" ca="1" si="19"/>
        <v>21.900657815503795</v>
      </c>
      <c r="T84" s="227">
        <f t="shared" ca="1" si="19"/>
        <v>22.247999083756074</v>
      </c>
      <c r="U84" s="227">
        <f t="shared" ca="1" si="19"/>
        <v>22.597574925127638</v>
      </c>
      <c r="V84" s="227">
        <f t="shared" ca="1" si="19"/>
        <v>22.949385339618487</v>
      </c>
      <c r="W84" s="227">
        <f t="shared" ca="1" si="19"/>
        <v>23.303430327228629</v>
      </c>
      <c r="X84" s="227">
        <f t="shared" ca="1" si="19"/>
        <v>23.872314148119973</v>
      </c>
      <c r="Y84" s="227">
        <f t="shared" ca="1" si="19"/>
        <v>24.445311442011199</v>
      </c>
      <c r="Z84" s="227">
        <f t="shared" ca="1" si="19"/>
        <v>25.022422208902313</v>
      </c>
      <c r="AA84" s="227">
        <f t="shared" ca="1" si="20"/>
        <v>25.60364644879332</v>
      </c>
      <c r="AB84" s="227">
        <f t="shared" ca="1" si="20"/>
        <v>26.188984161684207</v>
      </c>
      <c r="AC84" s="227">
        <f t="shared" ca="1" si="20"/>
        <v>26.728130773780261</v>
      </c>
      <c r="AD84" s="227">
        <f t="shared" ca="1" si="20"/>
        <v>27.267277385876319</v>
      </c>
      <c r="AE84" s="227">
        <f t="shared" ca="1" si="20"/>
        <v>27.806423997972374</v>
      </c>
      <c r="AF84" s="227">
        <f t="shared" ca="1" si="20"/>
        <v>28.345570610068428</v>
      </c>
      <c r="AG84" s="227">
        <f t="shared" ca="1" si="20"/>
        <v>28.884717222164479</v>
      </c>
      <c r="AH84" s="227">
        <f t="shared" ca="1" si="20"/>
        <v>29.529817724300045</v>
      </c>
      <c r="AI84" s="227">
        <f t="shared" ca="1" si="20"/>
        <v>30.174918226435612</v>
      </c>
      <c r="AJ84" s="227">
        <f t="shared" ca="1" si="20"/>
        <v>30.820018728571178</v>
      </c>
      <c r="AK84" s="227">
        <f t="shared" ca="1" si="20"/>
        <v>31.465119230706748</v>
      </c>
      <c r="AL84" s="227">
        <f t="shared" ca="1" si="20"/>
        <v>32.11021973284231</v>
      </c>
      <c r="AM84" s="227">
        <f t="shared" ca="1" si="20"/>
        <v>35.057757562520237</v>
      </c>
      <c r="AN84" s="227">
        <f t="shared" ca="1" si="20"/>
        <v>37.886733649844054</v>
      </c>
      <c r="AO84" s="227">
        <f t="shared" ca="1" si="20"/>
        <v>43.683007857238067</v>
      </c>
      <c r="AP84" s="227">
        <f t="shared" ca="1" si="20"/>
        <v>49.459521774239782</v>
      </c>
    </row>
    <row r="85" spans="1:42">
      <c r="A85" s="61" t="str">
        <f>'[5]TS BYDem'!A24</f>
        <v>*</v>
      </c>
      <c r="B85" s="227" t="s">
        <v>295</v>
      </c>
      <c r="C85" s="227" t="s">
        <v>138</v>
      </c>
      <c r="D85" s="227" t="str">
        <f>'[5]TS BYDem'!D24</f>
        <v>IMIS</v>
      </c>
      <c r="E85" s="227" t="s">
        <v>138</v>
      </c>
      <c r="F85" s="227" t="s">
        <v>138</v>
      </c>
      <c r="G85" s="227" t="s">
        <v>138</v>
      </c>
      <c r="H85" s="227" t="s">
        <v>138</v>
      </c>
      <c r="I85" s="227">
        <v>0</v>
      </c>
      <c r="J85" s="227">
        <f>INDEX('[5]TS BYDem'!$J$10:$J$203,MATCH(D85,'[5]TS BYDem'!$D$10:$D$203,0))</f>
        <v>20.275122960000004</v>
      </c>
      <c r="K85" s="227">
        <f t="shared" ca="1" si="19"/>
        <v>20.595301390113971</v>
      </c>
      <c r="L85" s="227">
        <f t="shared" ca="1" si="19"/>
        <v>20.916933283075448</v>
      </c>
      <c r="M85" s="227">
        <f t="shared" ca="1" si="19"/>
        <v>21.240018638884436</v>
      </c>
      <c r="N85" s="227">
        <f t="shared" ca="1" si="19"/>
        <v>21.303070996076407</v>
      </c>
      <c r="O85" s="227">
        <f t="shared" ca="1" si="19"/>
        <v>21.366150422821029</v>
      </c>
      <c r="P85" s="227">
        <f t="shared" ca="1" si="19"/>
        <v>21.429256919118298</v>
      </c>
      <c r="Q85" s="227">
        <f t="shared" ca="1" si="19"/>
        <v>21.492390484968219</v>
      </c>
      <c r="R85" s="227">
        <f t="shared" ca="1" si="19"/>
        <v>21.555551120370794</v>
      </c>
      <c r="S85" s="227">
        <f t="shared" ca="1" si="19"/>
        <v>21.900657815503795</v>
      </c>
      <c r="T85" s="227">
        <f t="shared" ca="1" si="19"/>
        <v>22.247999083756074</v>
      </c>
      <c r="U85" s="227">
        <f t="shared" ca="1" si="19"/>
        <v>22.597574925127638</v>
      </c>
      <c r="V85" s="227">
        <f t="shared" ca="1" si="19"/>
        <v>22.949385339618487</v>
      </c>
      <c r="W85" s="227">
        <f t="shared" ca="1" si="19"/>
        <v>23.303430327228629</v>
      </c>
      <c r="X85" s="227">
        <f t="shared" ca="1" si="19"/>
        <v>23.872314148119973</v>
      </c>
      <c r="Y85" s="227">
        <f t="shared" ca="1" si="19"/>
        <v>24.445311442011199</v>
      </c>
      <c r="Z85" s="227">
        <f t="shared" ca="1" si="19"/>
        <v>25.022422208902313</v>
      </c>
      <c r="AA85" s="227">
        <f t="shared" ca="1" si="20"/>
        <v>25.60364644879332</v>
      </c>
      <c r="AB85" s="227">
        <f t="shared" ca="1" si="20"/>
        <v>26.188984161684207</v>
      </c>
      <c r="AC85" s="227">
        <f t="shared" ca="1" si="20"/>
        <v>26.728130773780261</v>
      </c>
      <c r="AD85" s="227">
        <f t="shared" ca="1" si="20"/>
        <v>27.267277385876319</v>
      </c>
      <c r="AE85" s="227">
        <f t="shared" ca="1" si="20"/>
        <v>27.806423997972374</v>
      </c>
      <c r="AF85" s="227">
        <f t="shared" ca="1" si="20"/>
        <v>28.345570610068428</v>
      </c>
      <c r="AG85" s="227">
        <f t="shared" ca="1" si="20"/>
        <v>28.884717222164479</v>
      </c>
      <c r="AH85" s="227">
        <f t="shared" ca="1" si="20"/>
        <v>29.529817724300045</v>
      </c>
      <c r="AI85" s="227">
        <f t="shared" ca="1" si="20"/>
        <v>30.174918226435612</v>
      </c>
      <c r="AJ85" s="227">
        <f t="shared" ca="1" si="20"/>
        <v>30.820018728571178</v>
      </c>
      <c r="AK85" s="227">
        <f t="shared" ca="1" si="20"/>
        <v>31.465119230706748</v>
      </c>
      <c r="AL85" s="227">
        <f t="shared" ca="1" si="20"/>
        <v>32.11021973284231</v>
      </c>
      <c r="AM85" s="227">
        <f t="shared" ca="1" si="20"/>
        <v>35.057757562520237</v>
      </c>
      <c r="AN85" s="227">
        <f t="shared" ca="1" si="20"/>
        <v>37.886733649844054</v>
      </c>
      <c r="AO85" s="227">
        <f t="shared" ca="1" si="20"/>
        <v>43.683007857238067</v>
      </c>
      <c r="AP85" s="227">
        <f t="shared" ca="1" si="20"/>
        <v>49.459521774239782</v>
      </c>
    </row>
    <row r="86" spans="1:42">
      <c r="A86" s="61" t="str">
        <f>'[5]TS BYDem'!A25</f>
        <v>*</v>
      </c>
      <c r="B86" s="227" t="s">
        <v>295</v>
      </c>
      <c r="C86" s="227" t="s">
        <v>138</v>
      </c>
      <c r="D86" s="227" t="str">
        <f>'[5]TS BYDem'!D25</f>
        <v>IMIS</v>
      </c>
      <c r="E86" s="227" t="s">
        <v>138</v>
      </c>
      <c r="F86" s="227" t="s">
        <v>138</v>
      </c>
      <c r="G86" s="227" t="s">
        <v>138</v>
      </c>
      <c r="H86" s="227" t="s">
        <v>138</v>
      </c>
      <c r="I86" s="227">
        <v>0</v>
      </c>
      <c r="J86" s="227">
        <f>INDEX('[5]TS BYDem'!$J$10:$J$203,MATCH(D86,'[5]TS BYDem'!$D$10:$D$203,0))</f>
        <v>20.275122960000004</v>
      </c>
      <c r="K86" s="227">
        <f t="shared" ca="1" si="19"/>
        <v>20.595301390113971</v>
      </c>
      <c r="L86" s="227">
        <f t="shared" ca="1" si="19"/>
        <v>20.916933283075448</v>
      </c>
      <c r="M86" s="227">
        <f t="shared" ca="1" si="19"/>
        <v>21.240018638884436</v>
      </c>
      <c r="N86" s="227">
        <f t="shared" ca="1" si="19"/>
        <v>21.303070996076407</v>
      </c>
      <c r="O86" s="227">
        <f t="shared" ca="1" si="19"/>
        <v>21.366150422821029</v>
      </c>
      <c r="P86" s="227">
        <f t="shared" ca="1" si="19"/>
        <v>21.429256919118298</v>
      </c>
      <c r="Q86" s="227">
        <f t="shared" ca="1" si="19"/>
        <v>21.492390484968219</v>
      </c>
      <c r="R86" s="227">
        <f t="shared" ca="1" si="19"/>
        <v>21.555551120370794</v>
      </c>
      <c r="S86" s="227">
        <f t="shared" ca="1" si="19"/>
        <v>21.900657815503795</v>
      </c>
      <c r="T86" s="227">
        <f t="shared" ca="1" si="19"/>
        <v>22.247999083756074</v>
      </c>
      <c r="U86" s="227">
        <f t="shared" ca="1" si="19"/>
        <v>22.597574925127638</v>
      </c>
      <c r="V86" s="227">
        <f t="shared" ca="1" si="19"/>
        <v>22.949385339618487</v>
      </c>
      <c r="W86" s="227">
        <f t="shared" ca="1" si="19"/>
        <v>23.303430327228629</v>
      </c>
      <c r="X86" s="227">
        <f t="shared" ca="1" si="19"/>
        <v>23.872314148119973</v>
      </c>
      <c r="Y86" s="227">
        <f t="shared" ca="1" si="19"/>
        <v>24.445311442011199</v>
      </c>
      <c r="Z86" s="227">
        <f t="shared" ca="1" si="19"/>
        <v>25.022422208902313</v>
      </c>
      <c r="AA86" s="227">
        <f t="shared" ca="1" si="20"/>
        <v>25.60364644879332</v>
      </c>
      <c r="AB86" s="227">
        <f t="shared" ca="1" si="20"/>
        <v>26.188984161684207</v>
      </c>
      <c r="AC86" s="227">
        <f t="shared" ca="1" si="20"/>
        <v>26.728130773780261</v>
      </c>
      <c r="AD86" s="227">
        <f t="shared" ca="1" si="20"/>
        <v>27.267277385876319</v>
      </c>
      <c r="AE86" s="227">
        <f t="shared" ca="1" si="20"/>
        <v>27.806423997972374</v>
      </c>
      <c r="AF86" s="227">
        <f t="shared" ca="1" si="20"/>
        <v>28.345570610068428</v>
      </c>
      <c r="AG86" s="227">
        <f t="shared" ca="1" si="20"/>
        <v>28.884717222164479</v>
      </c>
      <c r="AH86" s="227">
        <f t="shared" ca="1" si="20"/>
        <v>29.529817724300045</v>
      </c>
      <c r="AI86" s="227">
        <f t="shared" ca="1" si="20"/>
        <v>30.174918226435612</v>
      </c>
      <c r="AJ86" s="227">
        <f t="shared" ca="1" si="20"/>
        <v>30.820018728571178</v>
      </c>
      <c r="AK86" s="227">
        <f t="shared" ca="1" si="20"/>
        <v>31.465119230706748</v>
      </c>
      <c r="AL86" s="227">
        <f t="shared" ca="1" si="20"/>
        <v>32.11021973284231</v>
      </c>
      <c r="AM86" s="227">
        <f t="shared" ca="1" si="20"/>
        <v>35.057757562520237</v>
      </c>
      <c r="AN86" s="227">
        <f t="shared" ca="1" si="20"/>
        <v>37.886733649844054</v>
      </c>
      <c r="AO86" s="227">
        <f t="shared" ca="1" si="20"/>
        <v>43.683007857238067</v>
      </c>
      <c r="AP86" s="227">
        <f t="shared" ref="AP86:AP90" ca="1" si="24">AP$70/AO$70*AO86</f>
        <v>49.459521774239782</v>
      </c>
    </row>
    <row r="87" spans="1:42">
      <c r="A87" s="61" t="str">
        <f>'[5]TS BYDem'!A26</f>
        <v>*</v>
      </c>
      <c r="B87" s="227" t="s">
        <v>295</v>
      </c>
      <c r="C87" s="227" t="s">
        <v>138</v>
      </c>
      <c r="D87" s="227">
        <f>'[5]TS BYDem'!D26</f>
        <v>0</v>
      </c>
      <c r="E87" s="227" t="s">
        <v>138</v>
      </c>
      <c r="F87" s="227" t="s">
        <v>138</v>
      </c>
      <c r="G87" s="227" t="s">
        <v>138</v>
      </c>
      <c r="H87" s="227" t="s">
        <v>138</v>
      </c>
      <c r="I87" s="227">
        <v>0</v>
      </c>
      <c r="J87" s="227" t="str">
        <f>INDEX('[5]TS BYDem'!$J$10:$J$203,MATCH(D87,'[5]TS BYDem'!$D$10:$D$203,0))</f>
        <v/>
      </c>
      <c r="K87" s="227" t="e">
        <f t="shared" ref="K87:Z90" ca="1" si="25">K$70/J$70*J87</f>
        <v>#VALUE!</v>
      </c>
      <c r="L87" s="227" t="e">
        <f t="shared" ca="1" si="25"/>
        <v>#VALUE!</v>
      </c>
      <c r="M87" s="227" t="e">
        <f t="shared" ca="1" si="25"/>
        <v>#VALUE!</v>
      </c>
      <c r="N87" s="227" t="e">
        <f t="shared" ca="1" si="25"/>
        <v>#VALUE!</v>
      </c>
      <c r="O87" s="227" t="e">
        <f t="shared" ca="1" si="25"/>
        <v>#VALUE!</v>
      </c>
      <c r="P87" s="227" t="e">
        <f t="shared" ca="1" si="25"/>
        <v>#VALUE!</v>
      </c>
      <c r="Q87" s="227" t="e">
        <f t="shared" ca="1" si="25"/>
        <v>#VALUE!</v>
      </c>
      <c r="R87" s="227" t="e">
        <f t="shared" ca="1" si="25"/>
        <v>#VALUE!</v>
      </c>
      <c r="S87" s="227" t="e">
        <f t="shared" ca="1" si="25"/>
        <v>#VALUE!</v>
      </c>
      <c r="T87" s="227" t="e">
        <f t="shared" ca="1" si="25"/>
        <v>#VALUE!</v>
      </c>
      <c r="U87" s="227" t="e">
        <f t="shared" ca="1" si="25"/>
        <v>#VALUE!</v>
      </c>
      <c r="V87" s="227" t="e">
        <f t="shared" ca="1" si="25"/>
        <v>#VALUE!</v>
      </c>
      <c r="W87" s="227" t="e">
        <f t="shared" ca="1" si="25"/>
        <v>#VALUE!</v>
      </c>
      <c r="X87" s="227" t="e">
        <f t="shared" ca="1" si="25"/>
        <v>#VALUE!</v>
      </c>
      <c r="Y87" s="227" t="e">
        <f t="shared" ca="1" si="25"/>
        <v>#VALUE!</v>
      </c>
      <c r="Z87" s="227" t="e">
        <f t="shared" ca="1" si="25"/>
        <v>#VALUE!</v>
      </c>
      <c r="AA87" s="227" t="e">
        <f t="shared" ref="AA87:AO90" ca="1" si="26">AA$70/Z$70*Z87</f>
        <v>#VALUE!</v>
      </c>
      <c r="AB87" s="227" t="e">
        <f t="shared" ca="1" si="26"/>
        <v>#VALUE!</v>
      </c>
      <c r="AC87" s="227" t="e">
        <f t="shared" ca="1" si="26"/>
        <v>#VALUE!</v>
      </c>
      <c r="AD87" s="227" t="e">
        <f t="shared" ca="1" si="26"/>
        <v>#VALUE!</v>
      </c>
      <c r="AE87" s="227" t="e">
        <f t="shared" ca="1" si="26"/>
        <v>#VALUE!</v>
      </c>
      <c r="AF87" s="227" t="e">
        <f t="shared" ca="1" si="26"/>
        <v>#VALUE!</v>
      </c>
      <c r="AG87" s="227" t="e">
        <f t="shared" ca="1" si="26"/>
        <v>#VALUE!</v>
      </c>
      <c r="AH87" s="227" t="e">
        <f t="shared" ca="1" si="26"/>
        <v>#VALUE!</v>
      </c>
      <c r="AI87" s="227" t="e">
        <f t="shared" ca="1" si="26"/>
        <v>#VALUE!</v>
      </c>
      <c r="AJ87" s="227" t="e">
        <f t="shared" ca="1" si="26"/>
        <v>#VALUE!</v>
      </c>
      <c r="AK87" s="227" t="e">
        <f t="shared" ca="1" si="26"/>
        <v>#VALUE!</v>
      </c>
      <c r="AL87" s="227" t="e">
        <f t="shared" ca="1" si="26"/>
        <v>#VALUE!</v>
      </c>
      <c r="AM87" s="227" t="e">
        <f t="shared" ca="1" si="26"/>
        <v>#VALUE!</v>
      </c>
      <c r="AN87" s="227" t="e">
        <f t="shared" ca="1" si="26"/>
        <v>#VALUE!</v>
      </c>
      <c r="AO87" s="227" t="e">
        <f t="shared" ca="1" si="26"/>
        <v>#VALUE!</v>
      </c>
      <c r="AP87" s="227" t="e">
        <f t="shared" ca="1" si="24"/>
        <v>#VALUE!</v>
      </c>
    </row>
    <row r="88" spans="1:42">
      <c r="A88" s="61" t="str">
        <f>'[5]TS BYDem'!A27</f>
        <v/>
      </c>
      <c r="B88" s="227" t="s">
        <v>295</v>
      </c>
      <c r="C88" s="227" t="s">
        <v>138</v>
      </c>
      <c r="D88" s="227" t="str">
        <f>'[5]TS BYDem'!D27</f>
        <v>IMIR</v>
      </c>
      <c r="E88" s="227" t="s">
        <v>138</v>
      </c>
      <c r="F88" s="227" t="s">
        <v>138</v>
      </c>
      <c r="G88" s="227" t="s">
        <v>138</v>
      </c>
      <c r="H88" s="227" t="s">
        <v>138</v>
      </c>
      <c r="I88" s="227">
        <v>0</v>
      </c>
      <c r="J88" s="227">
        <f>INDEX('[5]TS BYDem'!$J$10:$J$203,MATCH(D88,'[5]TS BYDem'!$D$10:$D$203,0))</f>
        <v>51.488523217763458</v>
      </c>
      <c r="K88" s="227">
        <f t="shared" ca="1" si="25"/>
        <v>52.301613947978687</v>
      </c>
      <c r="L88" s="227">
        <f t="shared" ca="1" si="25"/>
        <v>53.118395736231783</v>
      </c>
      <c r="M88" s="234">
        <f t="shared" ref="M88" si="27">O88</f>
        <v>46.045999999999999</v>
      </c>
      <c r="N88" s="234">
        <f t="shared" ref="N88" si="28">O88</f>
        <v>46.045999999999999</v>
      </c>
      <c r="O88" s="234">
        <f>INDEX('[5]TS BYDem'!$O$10:$O$203,MATCH(D88,'[5]TS BYDem'!$D$10:$D$203,0))</f>
        <v>46.045999999999999</v>
      </c>
      <c r="P88" s="227">
        <f t="shared" ca="1" si="25"/>
        <v>46.182000246698649</v>
      </c>
      <c r="Q88" s="227">
        <f t="shared" ca="1" si="25"/>
        <v>46.318058830748512</v>
      </c>
      <c r="R88" s="227">
        <f t="shared" ca="1" si="25"/>
        <v>46.454175752149595</v>
      </c>
      <c r="S88" s="227">
        <f t="shared" ca="1" si="25"/>
        <v>47.19791210940754</v>
      </c>
      <c r="T88" s="227">
        <f t="shared" ca="1" si="25"/>
        <v>47.946464175242561</v>
      </c>
      <c r="U88" s="227">
        <f t="shared" ca="1" si="25"/>
        <v>48.699831949654673</v>
      </c>
      <c r="V88" s="227">
        <f t="shared" ca="1" si="25"/>
        <v>49.458015432643876</v>
      </c>
      <c r="W88" s="227">
        <f t="shared" ca="1" si="25"/>
        <v>50.221014624210177</v>
      </c>
      <c r="X88" s="227">
        <f t="shared" ca="1" si="25"/>
        <v>51.447011067106331</v>
      </c>
      <c r="Y88" s="227">
        <f t="shared" ca="1" si="25"/>
        <v>52.681872418935747</v>
      </c>
      <c r="Z88" s="227">
        <f t="shared" ca="1" si="25"/>
        <v>53.925598679698432</v>
      </c>
      <c r="AA88" s="227">
        <f t="shared" ca="1" si="26"/>
        <v>55.1781898493944</v>
      </c>
      <c r="AB88" s="227">
        <f t="shared" ca="1" si="26"/>
        <v>56.439645928023616</v>
      </c>
      <c r="AC88" s="227">
        <f t="shared" ca="1" si="26"/>
        <v>57.601555977765614</v>
      </c>
      <c r="AD88" s="227">
        <f t="shared" ca="1" si="26"/>
        <v>58.763466027507619</v>
      </c>
      <c r="AE88" s="227">
        <f t="shared" ca="1" si="26"/>
        <v>59.925376077249609</v>
      </c>
      <c r="AF88" s="227">
        <f t="shared" ca="1" si="26"/>
        <v>61.0872861269916</v>
      </c>
      <c r="AG88" s="227">
        <f t="shared" ca="1" si="26"/>
        <v>62.249196176733591</v>
      </c>
      <c r="AH88" s="227">
        <f t="shared" ca="1" si="26"/>
        <v>63.639446508848046</v>
      </c>
      <c r="AI88" s="227">
        <f t="shared" ca="1" si="26"/>
        <v>65.029696840962501</v>
      </c>
      <c r="AJ88" s="227">
        <f t="shared" ca="1" si="26"/>
        <v>66.419947173076963</v>
      </c>
      <c r="AK88" s="227">
        <f t="shared" ca="1" si="26"/>
        <v>67.810197505191425</v>
      </c>
      <c r="AL88" s="227">
        <f t="shared" ca="1" si="26"/>
        <v>69.200447837305873</v>
      </c>
      <c r="AM88" s="227">
        <f t="shared" ca="1" si="26"/>
        <v>75.552660295774103</v>
      </c>
      <c r="AN88" s="227">
        <f t="shared" ca="1" si="26"/>
        <v>81.649361401920928</v>
      </c>
      <c r="AO88" s="227">
        <f t="shared" ca="1" si="26"/>
        <v>94.140860191922712</v>
      </c>
      <c r="AP88" s="227">
        <f t="shared" ca="1" si="24"/>
        <v>106.5897737565377</v>
      </c>
    </row>
    <row r="89" spans="1:42">
      <c r="A89" s="61" t="str">
        <f>'[5]TS BYDem'!A28</f>
        <v>*</v>
      </c>
      <c r="B89" s="227" t="s">
        <v>295</v>
      </c>
      <c r="C89" s="227" t="s">
        <v>138</v>
      </c>
      <c r="D89" s="227" t="str">
        <f>'[5]TS BYDem'!D28</f>
        <v>Useful Energy Service</v>
      </c>
      <c r="E89" s="227" t="s">
        <v>138</v>
      </c>
      <c r="F89" s="227" t="s">
        <v>138</v>
      </c>
      <c r="G89" s="227" t="s">
        <v>138</v>
      </c>
      <c r="H89" s="227" t="s">
        <v>138</v>
      </c>
      <c r="I89" s="227">
        <v>0</v>
      </c>
      <c r="J89" s="227" t="str">
        <f>INDEX('[5]TS BYDem'!$J$10:$J$203,MATCH(D89,'[5]TS BYDem'!$D$10:$D$203,0))</f>
        <v/>
      </c>
      <c r="K89" s="227" t="e">
        <f t="shared" ca="1" si="25"/>
        <v>#VALUE!</v>
      </c>
      <c r="L89" s="227" t="e">
        <f t="shared" ca="1" si="25"/>
        <v>#VALUE!</v>
      </c>
      <c r="M89" s="227" t="e">
        <f t="shared" ca="1" si="25"/>
        <v>#VALUE!</v>
      </c>
      <c r="N89" s="227" t="e">
        <f t="shared" ca="1" si="25"/>
        <v>#VALUE!</v>
      </c>
      <c r="O89" s="227" t="e">
        <f t="shared" ca="1" si="25"/>
        <v>#VALUE!</v>
      </c>
      <c r="P89" s="227" t="e">
        <f t="shared" ca="1" si="25"/>
        <v>#VALUE!</v>
      </c>
      <c r="Q89" s="227" t="e">
        <f t="shared" ca="1" si="25"/>
        <v>#VALUE!</v>
      </c>
      <c r="R89" s="227" t="e">
        <f t="shared" ca="1" si="25"/>
        <v>#VALUE!</v>
      </c>
      <c r="S89" s="227" t="e">
        <f t="shared" ca="1" si="25"/>
        <v>#VALUE!</v>
      </c>
      <c r="T89" s="227" t="e">
        <f t="shared" ca="1" si="25"/>
        <v>#VALUE!</v>
      </c>
      <c r="U89" s="227" t="e">
        <f t="shared" ca="1" si="25"/>
        <v>#VALUE!</v>
      </c>
      <c r="V89" s="227" t="e">
        <f t="shared" ca="1" si="25"/>
        <v>#VALUE!</v>
      </c>
      <c r="W89" s="227" t="e">
        <f t="shared" ca="1" si="25"/>
        <v>#VALUE!</v>
      </c>
      <c r="X89" s="227" t="e">
        <f t="shared" ca="1" si="25"/>
        <v>#VALUE!</v>
      </c>
      <c r="Y89" s="227" t="e">
        <f t="shared" ca="1" si="25"/>
        <v>#VALUE!</v>
      </c>
      <c r="Z89" s="227" t="e">
        <f t="shared" ca="1" si="25"/>
        <v>#VALUE!</v>
      </c>
      <c r="AA89" s="227" t="e">
        <f t="shared" ca="1" si="26"/>
        <v>#VALUE!</v>
      </c>
      <c r="AB89" s="227" t="e">
        <f t="shared" ca="1" si="26"/>
        <v>#VALUE!</v>
      </c>
      <c r="AC89" s="227" t="e">
        <f t="shared" ca="1" si="26"/>
        <v>#VALUE!</v>
      </c>
      <c r="AD89" s="227" t="e">
        <f t="shared" ca="1" si="26"/>
        <v>#VALUE!</v>
      </c>
      <c r="AE89" s="227" t="e">
        <f t="shared" ca="1" si="26"/>
        <v>#VALUE!</v>
      </c>
      <c r="AF89" s="227" t="e">
        <f t="shared" ca="1" si="26"/>
        <v>#VALUE!</v>
      </c>
      <c r="AG89" s="227" t="e">
        <f t="shared" ca="1" si="26"/>
        <v>#VALUE!</v>
      </c>
      <c r="AH89" s="227" t="e">
        <f t="shared" ca="1" si="26"/>
        <v>#VALUE!</v>
      </c>
      <c r="AI89" s="227" t="e">
        <f t="shared" ca="1" si="26"/>
        <v>#VALUE!</v>
      </c>
      <c r="AJ89" s="227" t="e">
        <f t="shared" ca="1" si="26"/>
        <v>#VALUE!</v>
      </c>
      <c r="AK89" s="227" t="e">
        <f t="shared" ca="1" si="26"/>
        <v>#VALUE!</v>
      </c>
      <c r="AL89" s="227" t="e">
        <f t="shared" ca="1" si="26"/>
        <v>#VALUE!</v>
      </c>
      <c r="AM89" s="227" t="e">
        <f t="shared" ca="1" si="26"/>
        <v>#VALUE!</v>
      </c>
      <c r="AN89" s="227" t="e">
        <f t="shared" ca="1" si="26"/>
        <v>#VALUE!</v>
      </c>
      <c r="AO89" s="227" t="e">
        <f t="shared" ca="1" si="26"/>
        <v>#VALUE!</v>
      </c>
      <c r="AP89" s="227" t="e">
        <f t="shared" ca="1" si="24"/>
        <v>#VALUE!</v>
      </c>
    </row>
    <row r="90" spans="1:42">
      <c r="A90" s="61" t="str">
        <f>'[5]TS BYDem'!A29</f>
        <v>*</v>
      </c>
      <c r="B90" s="227" t="s">
        <v>295</v>
      </c>
      <c r="C90" s="227" t="s">
        <v>138</v>
      </c>
      <c r="D90" s="227">
        <f>'[5]TS BYDem'!D29</f>
        <v>0</v>
      </c>
      <c r="E90" s="227" t="s">
        <v>138</v>
      </c>
      <c r="F90" s="227" t="s">
        <v>138</v>
      </c>
      <c r="G90" s="227" t="s">
        <v>138</v>
      </c>
      <c r="H90" s="227" t="s">
        <v>138</v>
      </c>
      <c r="I90" s="227">
        <v>0</v>
      </c>
      <c r="J90" s="227" t="str">
        <f>INDEX('[5]TS BYDem'!$J$10:$J$203,MATCH(D90,'[5]TS BYDem'!$D$10:$D$203,0))</f>
        <v/>
      </c>
      <c r="K90" s="227" t="e">
        <f t="shared" ca="1" si="25"/>
        <v>#VALUE!</v>
      </c>
      <c r="L90" s="227" t="e">
        <f t="shared" ca="1" si="25"/>
        <v>#VALUE!</v>
      </c>
      <c r="M90" s="227" t="e">
        <f t="shared" ca="1" si="25"/>
        <v>#VALUE!</v>
      </c>
      <c r="N90" s="227" t="e">
        <f t="shared" ca="1" si="25"/>
        <v>#VALUE!</v>
      </c>
      <c r="O90" s="227" t="e">
        <f t="shared" ca="1" si="25"/>
        <v>#VALUE!</v>
      </c>
      <c r="P90" s="227" t="e">
        <f t="shared" ca="1" si="25"/>
        <v>#VALUE!</v>
      </c>
      <c r="Q90" s="227" t="e">
        <f t="shared" ca="1" si="25"/>
        <v>#VALUE!</v>
      </c>
      <c r="R90" s="227" t="e">
        <f t="shared" ca="1" si="25"/>
        <v>#VALUE!</v>
      </c>
      <c r="S90" s="227" t="e">
        <f t="shared" ca="1" si="25"/>
        <v>#VALUE!</v>
      </c>
      <c r="T90" s="227" t="e">
        <f t="shared" ca="1" si="25"/>
        <v>#VALUE!</v>
      </c>
      <c r="U90" s="227" t="e">
        <f t="shared" ca="1" si="25"/>
        <v>#VALUE!</v>
      </c>
      <c r="V90" s="227" t="e">
        <f t="shared" ca="1" si="25"/>
        <v>#VALUE!</v>
      </c>
      <c r="W90" s="227" t="e">
        <f t="shared" ca="1" si="25"/>
        <v>#VALUE!</v>
      </c>
      <c r="X90" s="227" t="e">
        <f t="shared" ca="1" si="25"/>
        <v>#VALUE!</v>
      </c>
      <c r="Y90" s="227" t="e">
        <f t="shared" ca="1" si="25"/>
        <v>#VALUE!</v>
      </c>
      <c r="Z90" s="227" t="e">
        <f t="shared" ca="1" si="25"/>
        <v>#VALUE!</v>
      </c>
      <c r="AA90" s="227" t="e">
        <f t="shared" ca="1" si="26"/>
        <v>#VALUE!</v>
      </c>
      <c r="AB90" s="227" t="e">
        <f t="shared" ca="1" si="26"/>
        <v>#VALUE!</v>
      </c>
      <c r="AC90" s="227" t="e">
        <f t="shared" ca="1" si="26"/>
        <v>#VALUE!</v>
      </c>
      <c r="AD90" s="227" t="e">
        <f t="shared" ca="1" si="26"/>
        <v>#VALUE!</v>
      </c>
      <c r="AE90" s="227" t="e">
        <f t="shared" ca="1" si="26"/>
        <v>#VALUE!</v>
      </c>
      <c r="AF90" s="227" t="e">
        <f t="shared" ca="1" si="26"/>
        <v>#VALUE!</v>
      </c>
      <c r="AG90" s="227" t="e">
        <f t="shared" ca="1" si="26"/>
        <v>#VALUE!</v>
      </c>
      <c r="AH90" s="227" t="e">
        <f t="shared" ca="1" si="26"/>
        <v>#VALUE!</v>
      </c>
      <c r="AI90" s="227" t="e">
        <f t="shared" ca="1" si="26"/>
        <v>#VALUE!</v>
      </c>
      <c r="AJ90" s="227" t="e">
        <f t="shared" ca="1" si="26"/>
        <v>#VALUE!</v>
      </c>
      <c r="AK90" s="227" t="e">
        <f t="shared" ca="1" si="26"/>
        <v>#VALUE!</v>
      </c>
      <c r="AL90" s="227" t="e">
        <f t="shared" ca="1" si="26"/>
        <v>#VALUE!</v>
      </c>
      <c r="AM90" s="227" t="e">
        <f t="shared" ca="1" si="26"/>
        <v>#VALUE!</v>
      </c>
      <c r="AN90" s="227" t="e">
        <f t="shared" ca="1" si="26"/>
        <v>#VALUE!</v>
      </c>
      <c r="AO90" s="227" t="e">
        <f t="shared" ca="1" si="26"/>
        <v>#VALUE!</v>
      </c>
      <c r="AP90" s="227" t="e">
        <f t="shared" ca="1" si="24"/>
        <v>#VALUE!</v>
      </c>
    </row>
    <row r="91" spans="1:42" s="5" customFormat="1">
      <c r="A91" s="61" t="str">
        <f>'[5]TS BYDem'!A30</f>
        <v>*</v>
      </c>
      <c r="B91" s="5">
        <f>B70+1</f>
        <v>2</v>
      </c>
      <c r="C91" s="3" t="str">
        <f ca="1">OFFSET($C$9,$B91,0)</f>
        <v>Ferro Alloys</v>
      </c>
      <c r="D91" s="3" t="str">
        <f ca="1">OFFSET($B$9,$B91,0)</f>
        <v>FA</v>
      </c>
      <c r="J91" s="5">
        <f ca="1">SUMIF($B$10:$B$22,$D91,J$10:J$22)*SUMIF($B$10:$B$22,$D91,J$41:J$53)</f>
        <v>3.0070957798834522E-2</v>
      </c>
      <c r="K91" s="5">
        <f t="shared" ref="K91:AP91" ca="1" si="29">SUMIF($B$10:$B$22,$D91,K$10:K$22)*SUMIF($B$10:$B$22,$D91,K$41:K$53)</f>
        <v>3.0461828827325194E-2</v>
      </c>
      <c r="L91" s="5">
        <f t="shared" ca="1" si="29"/>
        <v>3.0852699855815867E-2</v>
      </c>
      <c r="M91" s="5">
        <f t="shared" ca="1" si="29"/>
        <v>3.1243570884306543E-2</v>
      </c>
      <c r="N91" s="5">
        <f t="shared" ca="1" si="29"/>
        <v>3.1250850536416359E-2</v>
      </c>
      <c r="O91" s="5">
        <f t="shared" ca="1" si="29"/>
        <v>3.1258130188526176E-2</v>
      </c>
      <c r="P91" s="5">
        <f t="shared" ca="1" si="29"/>
        <v>3.1265409840635992E-2</v>
      </c>
      <c r="Q91" s="5">
        <f t="shared" ca="1" si="29"/>
        <v>3.1272689492745809E-2</v>
      </c>
      <c r="R91" s="5">
        <f t="shared" ca="1" si="29"/>
        <v>3.1279969144855632E-2</v>
      </c>
      <c r="S91" s="5">
        <f t="shared" ca="1" si="29"/>
        <v>3.1637160053829182E-2</v>
      </c>
      <c r="T91" s="5">
        <f t="shared" ca="1" si="29"/>
        <v>3.1994350962802731E-2</v>
      </c>
      <c r="U91" s="5">
        <f t="shared" ca="1" si="29"/>
        <v>3.2351541871776281E-2</v>
      </c>
      <c r="V91" s="5">
        <f t="shared" ca="1" si="29"/>
        <v>3.270873278074983E-2</v>
      </c>
      <c r="W91" s="5">
        <f t="shared" ca="1" si="29"/>
        <v>3.3065923689723394E-2</v>
      </c>
      <c r="X91" s="5">
        <f t="shared" ca="1" si="29"/>
        <v>3.3723452032469951E-2</v>
      </c>
      <c r="Y91" s="5">
        <f t="shared" ca="1" si="29"/>
        <v>3.4380980375216509E-2</v>
      </c>
      <c r="Z91" s="5">
        <f t="shared" ca="1" si="29"/>
        <v>3.5038508717963067E-2</v>
      </c>
      <c r="AA91" s="5">
        <f t="shared" ca="1" si="29"/>
        <v>3.5696037060709625E-2</v>
      </c>
      <c r="AB91" s="5">
        <f t="shared" ca="1" si="29"/>
        <v>3.6353565403456183E-2</v>
      </c>
      <c r="AC91" s="5">
        <f t="shared" ca="1" si="29"/>
        <v>3.7101967918952046E-2</v>
      </c>
      <c r="AD91" s="5">
        <f t="shared" ca="1" si="29"/>
        <v>3.7850370434447909E-2</v>
      </c>
      <c r="AE91" s="5">
        <f t="shared" ca="1" si="29"/>
        <v>3.8598772949943773E-2</v>
      </c>
      <c r="AF91" s="5">
        <f t="shared" ca="1" si="29"/>
        <v>3.9347175465439636E-2</v>
      </c>
      <c r="AG91" s="5">
        <f t="shared" ca="1" si="29"/>
        <v>4.0095577980935493E-2</v>
      </c>
      <c r="AH91" s="5">
        <f t="shared" ca="1" si="29"/>
        <v>4.0991057666264367E-2</v>
      </c>
      <c r="AI91" s="5">
        <f t="shared" ca="1" si="29"/>
        <v>4.1886537351593242E-2</v>
      </c>
      <c r="AJ91" s="5">
        <f t="shared" ca="1" si="29"/>
        <v>4.2782017036922117E-2</v>
      </c>
      <c r="AK91" s="5">
        <f t="shared" ca="1" si="29"/>
        <v>4.3677496722250991E-2</v>
      </c>
      <c r="AL91" s="5">
        <f t="shared" ca="1" si="29"/>
        <v>4.4572976407579859E-2</v>
      </c>
      <c r="AM91" s="5">
        <f t="shared" ca="1" si="29"/>
        <v>4.8664525304964311E-2</v>
      </c>
      <c r="AN91" s="5">
        <f t="shared" ca="1" si="29"/>
        <v>5.2591495766300678E-2</v>
      </c>
      <c r="AO91" s="5">
        <f t="shared" ca="1" si="29"/>
        <v>6.0637444864362733E-2</v>
      </c>
      <c r="AP91" s="5">
        <f t="shared" ca="1" si="29"/>
        <v>6.865596422308351E-2</v>
      </c>
    </row>
    <row r="92" spans="1:42">
      <c r="A92" s="61" t="str">
        <f>'[5]TS BYDem'!A31</f>
        <v>*</v>
      </c>
      <c r="B92" s="227" t="s">
        <v>295</v>
      </c>
      <c r="C92" s="227" t="s">
        <v>138</v>
      </c>
      <c r="D92" s="227" t="str">
        <f>'[5]TS BYDem'!D31</f>
        <v>IFAK</v>
      </c>
      <c r="E92" s="227" t="s">
        <v>138</v>
      </c>
      <c r="F92" s="227" t="s">
        <v>138</v>
      </c>
      <c r="G92" s="227" t="s">
        <v>138</v>
      </c>
      <c r="H92" s="227" t="s">
        <v>138</v>
      </c>
      <c r="I92" s="227">
        <v>0</v>
      </c>
      <c r="J92" s="227" t="str">
        <f>INDEX('[5]TS BYDem'!$J$10:$J$203,MATCH(D92,'[5]TS BYDem'!$D$10:$D$203,0))</f>
        <v/>
      </c>
      <c r="K92" s="227" t="e">
        <f ca="1">K$91/J$91*J92</f>
        <v>#VALUE!</v>
      </c>
      <c r="L92" s="227" t="e">
        <f t="shared" ref="L92:AP107" ca="1" si="30">L$91/K$91*K92</f>
        <v>#VALUE!</v>
      </c>
      <c r="M92" s="227" t="e">
        <f t="shared" ca="1" si="30"/>
        <v>#VALUE!</v>
      </c>
      <c r="N92" s="227" t="e">
        <f t="shared" ca="1" si="30"/>
        <v>#VALUE!</v>
      </c>
      <c r="O92" s="227" t="e">
        <f t="shared" ca="1" si="30"/>
        <v>#VALUE!</v>
      </c>
      <c r="P92" s="227" t="e">
        <f t="shared" ca="1" si="30"/>
        <v>#VALUE!</v>
      </c>
      <c r="Q92" s="227" t="e">
        <f t="shared" ca="1" si="30"/>
        <v>#VALUE!</v>
      </c>
      <c r="R92" s="227" t="e">
        <f t="shared" ca="1" si="30"/>
        <v>#VALUE!</v>
      </c>
      <c r="S92" s="227" t="e">
        <f t="shared" ca="1" si="30"/>
        <v>#VALUE!</v>
      </c>
      <c r="T92" s="227" t="e">
        <f t="shared" ca="1" si="30"/>
        <v>#VALUE!</v>
      </c>
      <c r="U92" s="227" t="e">
        <f t="shared" ca="1" si="30"/>
        <v>#VALUE!</v>
      </c>
      <c r="V92" s="227" t="e">
        <f t="shared" ca="1" si="30"/>
        <v>#VALUE!</v>
      </c>
      <c r="W92" s="227" t="e">
        <f t="shared" ca="1" si="30"/>
        <v>#VALUE!</v>
      </c>
      <c r="X92" s="227" t="e">
        <f t="shared" ca="1" si="30"/>
        <v>#VALUE!</v>
      </c>
      <c r="Y92" s="227" t="e">
        <f t="shared" ca="1" si="30"/>
        <v>#VALUE!</v>
      </c>
      <c r="Z92" s="227" t="e">
        <f t="shared" ca="1" si="30"/>
        <v>#VALUE!</v>
      </c>
      <c r="AA92" s="227" t="e">
        <f t="shared" ca="1" si="30"/>
        <v>#VALUE!</v>
      </c>
      <c r="AB92" s="227" t="e">
        <f t="shared" ca="1" si="30"/>
        <v>#VALUE!</v>
      </c>
      <c r="AC92" s="227" t="e">
        <f t="shared" ca="1" si="30"/>
        <v>#VALUE!</v>
      </c>
      <c r="AD92" s="227" t="e">
        <f t="shared" ca="1" si="30"/>
        <v>#VALUE!</v>
      </c>
      <c r="AE92" s="227" t="e">
        <f t="shared" ca="1" si="30"/>
        <v>#VALUE!</v>
      </c>
      <c r="AF92" s="227" t="e">
        <f t="shared" ca="1" si="30"/>
        <v>#VALUE!</v>
      </c>
      <c r="AG92" s="227" t="e">
        <f t="shared" ca="1" si="30"/>
        <v>#VALUE!</v>
      </c>
      <c r="AH92" s="227" t="e">
        <f t="shared" ca="1" si="30"/>
        <v>#VALUE!</v>
      </c>
      <c r="AI92" s="227" t="e">
        <f t="shared" ca="1" si="30"/>
        <v>#VALUE!</v>
      </c>
      <c r="AJ92" s="227" t="e">
        <f t="shared" ca="1" si="30"/>
        <v>#VALUE!</v>
      </c>
      <c r="AK92" s="227" t="e">
        <f t="shared" ca="1" si="30"/>
        <v>#VALUE!</v>
      </c>
      <c r="AL92" s="227" t="e">
        <f t="shared" ca="1" si="30"/>
        <v>#VALUE!</v>
      </c>
      <c r="AM92" s="227" t="e">
        <f t="shared" ca="1" si="30"/>
        <v>#VALUE!</v>
      </c>
      <c r="AN92" s="227" t="e">
        <f t="shared" ca="1" si="30"/>
        <v>#VALUE!</v>
      </c>
      <c r="AO92" s="227" t="e">
        <f t="shared" ca="1" si="30"/>
        <v>#VALUE!</v>
      </c>
      <c r="AP92" s="227" t="e">
        <f t="shared" ca="1" si="30"/>
        <v>#VALUE!</v>
      </c>
    </row>
    <row r="93" spans="1:42">
      <c r="A93" s="61" t="str">
        <f>'[5]TS BYDem'!A32</f>
        <v>*</v>
      </c>
      <c r="B93" s="227" t="s">
        <v>295</v>
      </c>
      <c r="C93" s="227" t="s">
        <v>138</v>
      </c>
      <c r="D93" s="227" t="str">
        <f>'[5]TS BYDem'!D32</f>
        <v>IFAA</v>
      </c>
      <c r="E93" s="227" t="s">
        <v>138</v>
      </c>
      <c r="F93" s="227" t="s">
        <v>138</v>
      </c>
      <c r="G93" s="227" t="s">
        <v>138</v>
      </c>
      <c r="H93" s="227" t="s">
        <v>138</v>
      </c>
      <c r="I93" s="227">
        <v>0</v>
      </c>
      <c r="J93" s="227" t="str">
        <f>INDEX('[5]TS BYDem'!$J$10:$J$203,MATCH(D93,'[5]TS BYDem'!$D$10:$D$203,0))</f>
        <v/>
      </c>
      <c r="K93" s="227" t="e">
        <f t="shared" ref="K93:AH103" ca="1" si="31">K$91/J$91*J93</f>
        <v>#VALUE!</v>
      </c>
      <c r="L93" s="227" t="e">
        <f t="shared" ca="1" si="31"/>
        <v>#VALUE!</v>
      </c>
      <c r="M93" s="227" t="e">
        <f t="shared" ca="1" si="31"/>
        <v>#VALUE!</v>
      </c>
      <c r="N93" s="227" t="e">
        <f t="shared" ca="1" si="31"/>
        <v>#VALUE!</v>
      </c>
      <c r="O93" s="227" t="e">
        <f t="shared" ca="1" si="31"/>
        <v>#VALUE!</v>
      </c>
      <c r="P93" s="227" t="e">
        <f t="shared" ca="1" si="31"/>
        <v>#VALUE!</v>
      </c>
      <c r="Q93" s="227" t="e">
        <f t="shared" ca="1" si="31"/>
        <v>#VALUE!</v>
      </c>
      <c r="R93" s="227" t="e">
        <f t="shared" ca="1" si="31"/>
        <v>#VALUE!</v>
      </c>
      <c r="S93" s="227" t="e">
        <f t="shared" ca="1" si="31"/>
        <v>#VALUE!</v>
      </c>
      <c r="T93" s="227" t="e">
        <f t="shared" ca="1" si="31"/>
        <v>#VALUE!</v>
      </c>
      <c r="U93" s="227" t="e">
        <f t="shared" ca="1" si="31"/>
        <v>#VALUE!</v>
      </c>
      <c r="V93" s="227" t="e">
        <f t="shared" ca="1" si="31"/>
        <v>#VALUE!</v>
      </c>
      <c r="W93" s="227" t="e">
        <f t="shared" ca="1" si="31"/>
        <v>#VALUE!</v>
      </c>
      <c r="X93" s="227" t="e">
        <f t="shared" ca="1" si="31"/>
        <v>#VALUE!</v>
      </c>
      <c r="Y93" s="227" t="e">
        <f t="shared" ca="1" si="31"/>
        <v>#VALUE!</v>
      </c>
      <c r="Z93" s="227" t="e">
        <f t="shared" ca="1" si="31"/>
        <v>#VALUE!</v>
      </c>
      <c r="AA93" s="227" t="e">
        <f t="shared" ca="1" si="31"/>
        <v>#VALUE!</v>
      </c>
      <c r="AB93" s="227" t="e">
        <f t="shared" ca="1" si="31"/>
        <v>#VALUE!</v>
      </c>
      <c r="AC93" s="227" t="e">
        <f t="shared" ca="1" si="31"/>
        <v>#VALUE!</v>
      </c>
      <c r="AD93" s="227" t="e">
        <f t="shared" ca="1" si="31"/>
        <v>#VALUE!</v>
      </c>
      <c r="AE93" s="227" t="e">
        <f t="shared" ca="1" si="31"/>
        <v>#VALUE!</v>
      </c>
      <c r="AF93" s="227" t="e">
        <f t="shared" ca="1" si="31"/>
        <v>#VALUE!</v>
      </c>
      <c r="AG93" s="227" t="e">
        <f t="shared" ca="1" si="31"/>
        <v>#VALUE!</v>
      </c>
      <c r="AH93" s="227" t="e">
        <f t="shared" ca="1" si="31"/>
        <v>#VALUE!</v>
      </c>
      <c r="AI93" s="227" t="e">
        <f t="shared" ca="1" si="30"/>
        <v>#VALUE!</v>
      </c>
      <c r="AJ93" s="227" t="e">
        <f t="shared" ca="1" si="30"/>
        <v>#VALUE!</v>
      </c>
      <c r="AK93" s="227" t="e">
        <f t="shared" ca="1" si="30"/>
        <v>#VALUE!</v>
      </c>
      <c r="AL93" s="227" t="e">
        <f t="shared" ca="1" si="30"/>
        <v>#VALUE!</v>
      </c>
      <c r="AM93" s="227" t="e">
        <f t="shared" ca="1" si="30"/>
        <v>#VALUE!</v>
      </c>
      <c r="AN93" s="227" t="e">
        <f t="shared" ca="1" si="30"/>
        <v>#VALUE!</v>
      </c>
      <c r="AO93" s="227" t="e">
        <f t="shared" ca="1" si="30"/>
        <v>#VALUE!</v>
      </c>
      <c r="AP93" s="227" t="e">
        <f t="shared" ca="1" si="30"/>
        <v>#VALUE!</v>
      </c>
    </row>
    <row r="94" spans="1:42">
      <c r="A94" s="61" t="str">
        <f>'[5]TS BYDem'!A33</f>
        <v>*</v>
      </c>
      <c r="B94" s="227" t="s">
        <v>295</v>
      </c>
      <c r="C94" s="227" t="s">
        <v>138</v>
      </c>
      <c r="D94" s="227" t="str">
        <f>'[5]TS BYDem'!D33</f>
        <v>IFAL</v>
      </c>
      <c r="E94" s="227" t="s">
        <v>138</v>
      </c>
      <c r="F94" s="227" t="s">
        <v>138</v>
      </c>
      <c r="G94" s="227" t="s">
        <v>138</v>
      </c>
      <c r="H94" s="227" t="s">
        <v>138</v>
      </c>
      <c r="I94" s="227">
        <v>0</v>
      </c>
      <c r="J94" s="227" t="str">
        <f>INDEX('[5]TS BYDem'!$J$10:$J$203,MATCH(D94,'[5]TS BYDem'!$D$10:$D$203,0))</f>
        <v/>
      </c>
      <c r="K94" s="227" t="e">
        <f t="shared" ca="1" si="31"/>
        <v>#VALUE!</v>
      </c>
      <c r="L94" s="227" t="e">
        <f t="shared" ca="1" si="31"/>
        <v>#VALUE!</v>
      </c>
      <c r="M94" s="227" t="e">
        <f t="shared" ca="1" si="31"/>
        <v>#VALUE!</v>
      </c>
      <c r="N94" s="227" t="e">
        <f t="shared" ca="1" si="31"/>
        <v>#VALUE!</v>
      </c>
      <c r="O94" s="227" t="e">
        <f t="shared" ca="1" si="31"/>
        <v>#VALUE!</v>
      </c>
      <c r="P94" s="227" t="e">
        <f t="shared" ca="1" si="31"/>
        <v>#VALUE!</v>
      </c>
      <c r="Q94" s="227" t="e">
        <f t="shared" ca="1" si="31"/>
        <v>#VALUE!</v>
      </c>
      <c r="R94" s="227" t="e">
        <f t="shared" ca="1" si="31"/>
        <v>#VALUE!</v>
      </c>
      <c r="S94" s="227" t="e">
        <f t="shared" ca="1" si="31"/>
        <v>#VALUE!</v>
      </c>
      <c r="T94" s="227" t="e">
        <f t="shared" ca="1" si="31"/>
        <v>#VALUE!</v>
      </c>
      <c r="U94" s="227" t="e">
        <f t="shared" ca="1" si="31"/>
        <v>#VALUE!</v>
      </c>
      <c r="V94" s="227" t="e">
        <f t="shared" ca="1" si="31"/>
        <v>#VALUE!</v>
      </c>
      <c r="W94" s="227" t="e">
        <f t="shared" ca="1" si="31"/>
        <v>#VALUE!</v>
      </c>
      <c r="X94" s="227" t="e">
        <f t="shared" ca="1" si="31"/>
        <v>#VALUE!</v>
      </c>
      <c r="Y94" s="227" t="e">
        <f t="shared" ca="1" si="31"/>
        <v>#VALUE!</v>
      </c>
      <c r="Z94" s="227" t="e">
        <f t="shared" ca="1" si="31"/>
        <v>#VALUE!</v>
      </c>
      <c r="AA94" s="227" t="e">
        <f t="shared" ca="1" si="31"/>
        <v>#VALUE!</v>
      </c>
      <c r="AB94" s="227" t="e">
        <f t="shared" ca="1" si="31"/>
        <v>#VALUE!</v>
      </c>
      <c r="AC94" s="227" t="e">
        <f t="shared" ca="1" si="31"/>
        <v>#VALUE!</v>
      </c>
      <c r="AD94" s="227" t="e">
        <f t="shared" ca="1" si="31"/>
        <v>#VALUE!</v>
      </c>
      <c r="AE94" s="227" t="e">
        <f t="shared" ca="1" si="31"/>
        <v>#VALUE!</v>
      </c>
      <c r="AF94" s="227" t="e">
        <f t="shared" ca="1" si="31"/>
        <v>#VALUE!</v>
      </c>
      <c r="AG94" s="227" t="e">
        <f t="shared" ca="1" si="31"/>
        <v>#VALUE!</v>
      </c>
      <c r="AH94" s="227" t="e">
        <f t="shared" ca="1" si="31"/>
        <v>#VALUE!</v>
      </c>
      <c r="AI94" s="227" t="e">
        <f t="shared" ca="1" si="30"/>
        <v>#VALUE!</v>
      </c>
      <c r="AJ94" s="227" t="e">
        <f t="shared" ca="1" si="30"/>
        <v>#VALUE!</v>
      </c>
      <c r="AK94" s="227" t="e">
        <f t="shared" ca="1" si="30"/>
        <v>#VALUE!</v>
      </c>
      <c r="AL94" s="227" t="e">
        <f t="shared" ca="1" si="30"/>
        <v>#VALUE!</v>
      </c>
      <c r="AM94" s="227" t="e">
        <f t="shared" ca="1" si="30"/>
        <v>#VALUE!</v>
      </c>
      <c r="AN94" s="227" t="e">
        <f t="shared" ca="1" si="30"/>
        <v>#VALUE!</v>
      </c>
      <c r="AO94" s="227" t="e">
        <f t="shared" ca="1" si="30"/>
        <v>#VALUE!</v>
      </c>
      <c r="AP94" s="227" t="e">
        <f t="shared" ca="1" si="30"/>
        <v>#VALUE!</v>
      </c>
    </row>
    <row r="95" spans="1:42">
      <c r="A95" s="61" t="str">
        <f>'[5]TS BYDem'!A34</f>
        <v>*</v>
      </c>
      <c r="B95" s="227" t="s">
        <v>295</v>
      </c>
      <c r="C95" s="227" t="s">
        <v>138</v>
      </c>
      <c r="D95" s="227" t="str">
        <f>'[5]TS BYDem'!D34</f>
        <v>IFAC</v>
      </c>
      <c r="E95" s="227" t="s">
        <v>138</v>
      </c>
      <c r="F95" s="227" t="s">
        <v>138</v>
      </c>
      <c r="G95" s="227" t="s">
        <v>138</v>
      </c>
      <c r="H95" s="227" t="s">
        <v>138</v>
      </c>
      <c r="I95" s="227">
        <v>0</v>
      </c>
      <c r="J95" s="227" t="str">
        <f>INDEX('[5]TS BYDem'!$J$10:$J$203,MATCH(D95,'[5]TS BYDem'!$D$10:$D$203,0))</f>
        <v/>
      </c>
      <c r="K95" s="227" t="e">
        <f t="shared" ca="1" si="31"/>
        <v>#VALUE!</v>
      </c>
      <c r="L95" s="227" t="e">
        <f t="shared" ca="1" si="31"/>
        <v>#VALUE!</v>
      </c>
      <c r="M95" s="227" t="e">
        <f t="shared" ca="1" si="31"/>
        <v>#VALUE!</v>
      </c>
      <c r="N95" s="227" t="e">
        <f t="shared" ca="1" si="31"/>
        <v>#VALUE!</v>
      </c>
      <c r="O95" s="227" t="e">
        <f t="shared" ca="1" si="31"/>
        <v>#VALUE!</v>
      </c>
      <c r="P95" s="227" t="e">
        <f t="shared" ca="1" si="31"/>
        <v>#VALUE!</v>
      </c>
      <c r="Q95" s="227" t="e">
        <f t="shared" ca="1" si="31"/>
        <v>#VALUE!</v>
      </c>
      <c r="R95" s="227" t="e">
        <f t="shared" ca="1" si="31"/>
        <v>#VALUE!</v>
      </c>
      <c r="S95" s="227" t="e">
        <f t="shared" ca="1" si="31"/>
        <v>#VALUE!</v>
      </c>
      <c r="T95" s="227" t="e">
        <f t="shared" ca="1" si="31"/>
        <v>#VALUE!</v>
      </c>
      <c r="U95" s="227" t="e">
        <f t="shared" ca="1" si="31"/>
        <v>#VALUE!</v>
      </c>
      <c r="V95" s="227" t="e">
        <f t="shared" ca="1" si="31"/>
        <v>#VALUE!</v>
      </c>
      <c r="W95" s="227" t="e">
        <f t="shared" ca="1" si="31"/>
        <v>#VALUE!</v>
      </c>
      <c r="X95" s="227" t="e">
        <f t="shared" ca="1" si="31"/>
        <v>#VALUE!</v>
      </c>
      <c r="Y95" s="227" t="e">
        <f t="shared" ca="1" si="31"/>
        <v>#VALUE!</v>
      </c>
      <c r="Z95" s="227" t="e">
        <f t="shared" ca="1" si="31"/>
        <v>#VALUE!</v>
      </c>
      <c r="AA95" s="227" t="e">
        <f t="shared" ca="1" si="31"/>
        <v>#VALUE!</v>
      </c>
      <c r="AB95" s="227" t="e">
        <f t="shared" ca="1" si="31"/>
        <v>#VALUE!</v>
      </c>
      <c r="AC95" s="227" t="e">
        <f t="shared" ca="1" si="31"/>
        <v>#VALUE!</v>
      </c>
      <c r="AD95" s="227" t="e">
        <f t="shared" ca="1" si="31"/>
        <v>#VALUE!</v>
      </c>
      <c r="AE95" s="227" t="e">
        <f t="shared" ca="1" si="31"/>
        <v>#VALUE!</v>
      </c>
      <c r="AF95" s="227" t="e">
        <f t="shared" ca="1" si="31"/>
        <v>#VALUE!</v>
      </c>
      <c r="AG95" s="227" t="e">
        <f t="shared" ca="1" si="31"/>
        <v>#VALUE!</v>
      </c>
      <c r="AH95" s="227" t="e">
        <f t="shared" ca="1" si="31"/>
        <v>#VALUE!</v>
      </c>
      <c r="AI95" s="227" t="e">
        <f t="shared" ca="1" si="30"/>
        <v>#VALUE!</v>
      </c>
      <c r="AJ95" s="227" t="e">
        <f t="shared" ca="1" si="30"/>
        <v>#VALUE!</v>
      </c>
      <c r="AK95" s="227" t="e">
        <f t="shared" ca="1" si="30"/>
        <v>#VALUE!</v>
      </c>
      <c r="AL95" s="227" t="e">
        <f t="shared" ca="1" si="30"/>
        <v>#VALUE!</v>
      </c>
      <c r="AM95" s="227" t="e">
        <f t="shared" ca="1" si="30"/>
        <v>#VALUE!</v>
      </c>
      <c r="AN95" s="227" t="e">
        <f t="shared" ca="1" si="30"/>
        <v>#VALUE!</v>
      </c>
      <c r="AO95" s="227" t="e">
        <f t="shared" ca="1" si="30"/>
        <v>#VALUE!</v>
      </c>
      <c r="AP95" s="227" t="e">
        <f t="shared" ca="1" si="30"/>
        <v>#VALUE!</v>
      </c>
    </row>
    <row r="96" spans="1:42">
      <c r="A96" s="61" t="str">
        <f>'[5]TS BYDem'!A35</f>
        <v>*</v>
      </c>
      <c r="B96" s="227" t="s">
        <v>295</v>
      </c>
      <c r="C96" s="227" t="s">
        <v>138</v>
      </c>
      <c r="D96" s="227" t="str">
        <f>'[5]TS BYDem'!D35</f>
        <v>IFAH</v>
      </c>
      <c r="E96" s="227" t="s">
        <v>138</v>
      </c>
      <c r="F96" s="227" t="s">
        <v>138</v>
      </c>
      <c r="G96" s="227" t="s">
        <v>138</v>
      </c>
      <c r="H96" s="227" t="s">
        <v>138</v>
      </c>
      <c r="I96" s="227">
        <v>0</v>
      </c>
      <c r="J96" s="227" t="str">
        <f>INDEX('[5]TS BYDem'!$J$10:$J$203,MATCH(D96,'[5]TS BYDem'!$D$10:$D$203,0))</f>
        <v/>
      </c>
      <c r="K96" s="227" t="e">
        <f t="shared" ca="1" si="31"/>
        <v>#VALUE!</v>
      </c>
      <c r="L96" s="227" t="e">
        <f t="shared" ca="1" si="31"/>
        <v>#VALUE!</v>
      </c>
      <c r="M96" s="227" t="e">
        <f t="shared" ca="1" si="31"/>
        <v>#VALUE!</v>
      </c>
      <c r="N96" s="227" t="e">
        <f t="shared" ca="1" si="31"/>
        <v>#VALUE!</v>
      </c>
      <c r="O96" s="227" t="e">
        <f t="shared" ca="1" si="31"/>
        <v>#VALUE!</v>
      </c>
      <c r="P96" s="227" t="e">
        <f t="shared" ca="1" si="31"/>
        <v>#VALUE!</v>
      </c>
      <c r="Q96" s="227" t="e">
        <f t="shared" ca="1" si="31"/>
        <v>#VALUE!</v>
      </c>
      <c r="R96" s="227" t="e">
        <f t="shared" ca="1" si="31"/>
        <v>#VALUE!</v>
      </c>
      <c r="S96" s="227" t="e">
        <f t="shared" ca="1" si="31"/>
        <v>#VALUE!</v>
      </c>
      <c r="T96" s="227" t="e">
        <f t="shared" ca="1" si="31"/>
        <v>#VALUE!</v>
      </c>
      <c r="U96" s="227" t="e">
        <f t="shared" ca="1" si="31"/>
        <v>#VALUE!</v>
      </c>
      <c r="V96" s="227" t="e">
        <f t="shared" ca="1" si="31"/>
        <v>#VALUE!</v>
      </c>
      <c r="W96" s="227" t="e">
        <f t="shared" ca="1" si="31"/>
        <v>#VALUE!</v>
      </c>
      <c r="X96" s="227" t="e">
        <f t="shared" ca="1" si="31"/>
        <v>#VALUE!</v>
      </c>
      <c r="Y96" s="227" t="e">
        <f t="shared" ca="1" si="31"/>
        <v>#VALUE!</v>
      </c>
      <c r="Z96" s="227" t="e">
        <f t="shared" ca="1" si="31"/>
        <v>#VALUE!</v>
      </c>
      <c r="AA96" s="227" t="e">
        <f t="shared" ca="1" si="31"/>
        <v>#VALUE!</v>
      </c>
      <c r="AB96" s="227" t="e">
        <f t="shared" ca="1" si="31"/>
        <v>#VALUE!</v>
      </c>
      <c r="AC96" s="227" t="e">
        <f t="shared" ca="1" si="31"/>
        <v>#VALUE!</v>
      </c>
      <c r="AD96" s="227" t="e">
        <f t="shared" ca="1" si="31"/>
        <v>#VALUE!</v>
      </c>
      <c r="AE96" s="227" t="e">
        <f t="shared" ca="1" si="31"/>
        <v>#VALUE!</v>
      </c>
      <c r="AF96" s="227" t="e">
        <f t="shared" ca="1" si="31"/>
        <v>#VALUE!</v>
      </c>
      <c r="AG96" s="227" t="e">
        <f t="shared" ca="1" si="31"/>
        <v>#VALUE!</v>
      </c>
      <c r="AH96" s="227" t="e">
        <f t="shared" ca="1" si="31"/>
        <v>#VALUE!</v>
      </c>
      <c r="AI96" s="227" t="e">
        <f t="shared" ca="1" si="30"/>
        <v>#VALUE!</v>
      </c>
      <c r="AJ96" s="227" t="e">
        <f t="shared" ca="1" si="30"/>
        <v>#VALUE!</v>
      </c>
      <c r="AK96" s="227" t="e">
        <f t="shared" ca="1" si="30"/>
        <v>#VALUE!</v>
      </c>
      <c r="AL96" s="227" t="e">
        <f t="shared" ca="1" si="30"/>
        <v>#VALUE!</v>
      </c>
      <c r="AM96" s="227" t="e">
        <f t="shared" ca="1" si="30"/>
        <v>#VALUE!</v>
      </c>
      <c r="AN96" s="227" t="e">
        <f t="shared" ca="1" si="30"/>
        <v>#VALUE!</v>
      </c>
      <c r="AO96" s="227" t="e">
        <f t="shared" ca="1" si="30"/>
        <v>#VALUE!</v>
      </c>
      <c r="AP96" s="227" t="e">
        <f t="shared" ca="1" si="30"/>
        <v>#VALUE!</v>
      </c>
    </row>
    <row r="97" spans="1:42">
      <c r="A97" s="61" t="str">
        <f>'[5]TS BYDem'!A36</f>
        <v>*</v>
      </c>
      <c r="B97" s="227" t="s">
        <v>295</v>
      </c>
      <c r="C97" s="227" t="s">
        <v>138</v>
      </c>
      <c r="D97" s="227" t="str">
        <f>'[5]TS BYDem'!D36</f>
        <v>IFAP</v>
      </c>
      <c r="E97" s="227" t="s">
        <v>138</v>
      </c>
      <c r="F97" s="227" t="s">
        <v>138</v>
      </c>
      <c r="G97" s="227" t="s">
        <v>138</v>
      </c>
      <c r="H97" s="227" t="s">
        <v>138</v>
      </c>
      <c r="I97" s="227">
        <v>0</v>
      </c>
      <c r="J97" s="227" t="str">
        <f>INDEX('[5]TS BYDem'!$J$10:$J$203,MATCH(D97,'[5]TS BYDem'!$D$10:$D$203,0))</f>
        <v/>
      </c>
      <c r="K97" s="227" t="e">
        <f t="shared" ca="1" si="31"/>
        <v>#VALUE!</v>
      </c>
      <c r="L97" s="227" t="e">
        <f t="shared" ca="1" si="31"/>
        <v>#VALUE!</v>
      </c>
      <c r="M97" s="227" t="e">
        <f t="shared" ca="1" si="31"/>
        <v>#VALUE!</v>
      </c>
      <c r="N97" s="227" t="e">
        <f t="shared" ca="1" si="31"/>
        <v>#VALUE!</v>
      </c>
      <c r="O97" s="227" t="e">
        <f t="shared" ca="1" si="31"/>
        <v>#VALUE!</v>
      </c>
      <c r="P97" s="227" t="e">
        <f t="shared" ca="1" si="31"/>
        <v>#VALUE!</v>
      </c>
      <c r="Q97" s="227" t="e">
        <f t="shared" ca="1" si="31"/>
        <v>#VALUE!</v>
      </c>
      <c r="R97" s="227" t="e">
        <f t="shared" ca="1" si="31"/>
        <v>#VALUE!</v>
      </c>
      <c r="S97" s="227" t="e">
        <f t="shared" ca="1" si="31"/>
        <v>#VALUE!</v>
      </c>
      <c r="T97" s="227" t="e">
        <f t="shared" ca="1" si="31"/>
        <v>#VALUE!</v>
      </c>
      <c r="U97" s="227" t="e">
        <f t="shared" ca="1" si="31"/>
        <v>#VALUE!</v>
      </c>
      <c r="V97" s="227" t="e">
        <f t="shared" ca="1" si="31"/>
        <v>#VALUE!</v>
      </c>
      <c r="W97" s="227" t="e">
        <f t="shared" ca="1" si="31"/>
        <v>#VALUE!</v>
      </c>
      <c r="X97" s="227" t="e">
        <f t="shared" ca="1" si="31"/>
        <v>#VALUE!</v>
      </c>
      <c r="Y97" s="227" t="e">
        <f t="shared" ca="1" si="31"/>
        <v>#VALUE!</v>
      </c>
      <c r="Z97" s="227" t="e">
        <f t="shared" ca="1" si="31"/>
        <v>#VALUE!</v>
      </c>
      <c r="AA97" s="227" t="e">
        <f t="shared" ca="1" si="31"/>
        <v>#VALUE!</v>
      </c>
      <c r="AB97" s="227" t="e">
        <f t="shared" ca="1" si="31"/>
        <v>#VALUE!</v>
      </c>
      <c r="AC97" s="227" t="e">
        <f t="shared" ca="1" si="31"/>
        <v>#VALUE!</v>
      </c>
      <c r="AD97" s="227" t="e">
        <f t="shared" ca="1" si="31"/>
        <v>#VALUE!</v>
      </c>
      <c r="AE97" s="227" t="e">
        <f t="shared" ca="1" si="31"/>
        <v>#VALUE!</v>
      </c>
      <c r="AF97" s="227" t="e">
        <f t="shared" ca="1" si="31"/>
        <v>#VALUE!</v>
      </c>
      <c r="AG97" s="227" t="e">
        <f t="shared" ca="1" si="31"/>
        <v>#VALUE!</v>
      </c>
      <c r="AH97" s="227" t="e">
        <f t="shared" ca="1" si="31"/>
        <v>#VALUE!</v>
      </c>
      <c r="AI97" s="227" t="e">
        <f t="shared" ca="1" si="30"/>
        <v>#VALUE!</v>
      </c>
      <c r="AJ97" s="227" t="e">
        <f t="shared" ca="1" si="30"/>
        <v>#VALUE!</v>
      </c>
      <c r="AK97" s="227" t="e">
        <f t="shared" ca="1" si="30"/>
        <v>#VALUE!</v>
      </c>
      <c r="AL97" s="227" t="e">
        <f t="shared" ca="1" si="30"/>
        <v>#VALUE!</v>
      </c>
      <c r="AM97" s="227" t="e">
        <f t="shared" ca="1" si="30"/>
        <v>#VALUE!</v>
      </c>
      <c r="AN97" s="227" t="e">
        <f t="shared" ca="1" si="30"/>
        <v>#VALUE!</v>
      </c>
      <c r="AO97" s="227" t="e">
        <f t="shared" ca="1" si="30"/>
        <v>#VALUE!</v>
      </c>
      <c r="AP97" s="227" t="e">
        <f t="shared" ca="1" si="30"/>
        <v>#VALUE!</v>
      </c>
    </row>
    <row r="98" spans="1:42">
      <c r="A98" s="61" t="str">
        <f>'[5]TS BYDem'!A37</f>
        <v>*</v>
      </c>
      <c r="B98" s="227" t="s">
        <v>295</v>
      </c>
      <c r="C98" s="227" t="s">
        <v>138</v>
      </c>
      <c r="D98" s="227" t="str">
        <f>'[5]TS BYDem'!D37</f>
        <v>IFAF</v>
      </c>
      <c r="E98" s="227" t="s">
        <v>138</v>
      </c>
      <c r="F98" s="227" t="s">
        <v>138</v>
      </c>
      <c r="G98" s="227" t="s">
        <v>138</v>
      </c>
      <c r="H98" s="227" t="s">
        <v>138</v>
      </c>
      <c r="I98" s="227">
        <v>0</v>
      </c>
      <c r="J98" s="227" t="str">
        <f>INDEX('[5]TS BYDem'!$J$10:$J$203,MATCH(D98,'[5]TS BYDem'!$D$10:$D$203,0))</f>
        <v/>
      </c>
      <c r="K98" s="227" t="e">
        <f t="shared" ca="1" si="31"/>
        <v>#VALUE!</v>
      </c>
      <c r="L98" s="227" t="e">
        <f t="shared" ca="1" si="31"/>
        <v>#VALUE!</v>
      </c>
      <c r="M98" s="227" t="e">
        <f t="shared" ca="1" si="31"/>
        <v>#VALUE!</v>
      </c>
      <c r="N98" s="227" t="e">
        <f t="shared" ca="1" si="31"/>
        <v>#VALUE!</v>
      </c>
      <c r="O98" s="227" t="e">
        <f t="shared" ca="1" si="31"/>
        <v>#VALUE!</v>
      </c>
      <c r="P98" s="227" t="e">
        <f t="shared" ca="1" si="31"/>
        <v>#VALUE!</v>
      </c>
      <c r="Q98" s="227" t="e">
        <f t="shared" ca="1" si="31"/>
        <v>#VALUE!</v>
      </c>
      <c r="R98" s="227" t="e">
        <f t="shared" ca="1" si="31"/>
        <v>#VALUE!</v>
      </c>
      <c r="S98" s="227" t="e">
        <f t="shared" ca="1" si="31"/>
        <v>#VALUE!</v>
      </c>
      <c r="T98" s="227" t="e">
        <f t="shared" ca="1" si="31"/>
        <v>#VALUE!</v>
      </c>
      <c r="U98" s="227" t="e">
        <f t="shared" ca="1" si="31"/>
        <v>#VALUE!</v>
      </c>
      <c r="V98" s="227" t="e">
        <f t="shared" ca="1" si="31"/>
        <v>#VALUE!</v>
      </c>
      <c r="W98" s="227" t="e">
        <f t="shared" ca="1" si="31"/>
        <v>#VALUE!</v>
      </c>
      <c r="X98" s="227" t="e">
        <f t="shared" ca="1" si="31"/>
        <v>#VALUE!</v>
      </c>
      <c r="Y98" s="227" t="e">
        <f t="shared" ca="1" si="31"/>
        <v>#VALUE!</v>
      </c>
      <c r="Z98" s="227" t="e">
        <f t="shared" ca="1" si="31"/>
        <v>#VALUE!</v>
      </c>
      <c r="AA98" s="227" t="e">
        <f t="shared" ca="1" si="31"/>
        <v>#VALUE!</v>
      </c>
      <c r="AB98" s="227" t="e">
        <f t="shared" ca="1" si="31"/>
        <v>#VALUE!</v>
      </c>
      <c r="AC98" s="227" t="e">
        <f t="shared" ca="1" si="31"/>
        <v>#VALUE!</v>
      </c>
      <c r="AD98" s="227" t="e">
        <f t="shared" ca="1" si="31"/>
        <v>#VALUE!</v>
      </c>
      <c r="AE98" s="227" t="e">
        <f t="shared" ca="1" si="31"/>
        <v>#VALUE!</v>
      </c>
      <c r="AF98" s="227" t="e">
        <f t="shared" ca="1" si="31"/>
        <v>#VALUE!</v>
      </c>
      <c r="AG98" s="227" t="e">
        <f t="shared" ca="1" si="31"/>
        <v>#VALUE!</v>
      </c>
      <c r="AH98" s="227" t="e">
        <f t="shared" ca="1" si="31"/>
        <v>#VALUE!</v>
      </c>
      <c r="AI98" s="227" t="e">
        <f t="shared" ca="1" si="30"/>
        <v>#VALUE!</v>
      </c>
      <c r="AJ98" s="227" t="e">
        <f t="shared" ca="1" si="30"/>
        <v>#VALUE!</v>
      </c>
      <c r="AK98" s="227" t="e">
        <f t="shared" ca="1" si="30"/>
        <v>#VALUE!</v>
      </c>
      <c r="AL98" s="227" t="e">
        <f t="shared" ca="1" si="30"/>
        <v>#VALUE!</v>
      </c>
      <c r="AM98" s="227" t="e">
        <f t="shared" ca="1" si="30"/>
        <v>#VALUE!</v>
      </c>
      <c r="AN98" s="227" t="e">
        <f t="shared" ca="1" si="30"/>
        <v>#VALUE!</v>
      </c>
      <c r="AO98" s="227" t="e">
        <f t="shared" ca="1" si="30"/>
        <v>#VALUE!</v>
      </c>
      <c r="AP98" s="227" t="e">
        <f t="shared" ca="1" si="30"/>
        <v>#VALUE!</v>
      </c>
    </row>
    <row r="99" spans="1:42">
      <c r="A99" s="61" t="str">
        <f>'[5]TS BYDem'!A38</f>
        <v>*</v>
      </c>
      <c r="B99" s="227" t="s">
        <v>295</v>
      </c>
      <c r="C99" s="227" t="s">
        <v>138</v>
      </c>
      <c r="D99" s="227" t="str">
        <f>'[5]TS BYDem'!D38</f>
        <v>IFAO</v>
      </c>
      <c r="E99" s="227" t="s">
        <v>138</v>
      </c>
      <c r="F99" s="227" t="s">
        <v>138</v>
      </c>
      <c r="G99" s="227" t="s">
        <v>138</v>
      </c>
      <c r="H99" s="227" t="s">
        <v>138</v>
      </c>
      <c r="I99" s="227">
        <v>0</v>
      </c>
      <c r="J99" s="227" t="str">
        <f>INDEX('[5]TS BYDem'!$J$10:$J$203,MATCH(D99,'[5]TS BYDem'!$D$10:$D$203,0))</f>
        <v/>
      </c>
      <c r="K99" s="227" t="e">
        <f t="shared" ca="1" si="31"/>
        <v>#VALUE!</v>
      </c>
      <c r="L99" s="227" t="e">
        <f t="shared" ca="1" si="31"/>
        <v>#VALUE!</v>
      </c>
      <c r="M99" s="227" t="e">
        <f t="shared" ca="1" si="31"/>
        <v>#VALUE!</v>
      </c>
      <c r="N99" s="227" t="e">
        <f t="shared" ca="1" si="31"/>
        <v>#VALUE!</v>
      </c>
      <c r="O99" s="227" t="e">
        <f t="shared" ca="1" si="31"/>
        <v>#VALUE!</v>
      </c>
      <c r="P99" s="227" t="e">
        <f t="shared" ca="1" si="31"/>
        <v>#VALUE!</v>
      </c>
      <c r="Q99" s="227" t="e">
        <f t="shared" ca="1" si="31"/>
        <v>#VALUE!</v>
      </c>
      <c r="R99" s="227" t="e">
        <f t="shared" ca="1" si="31"/>
        <v>#VALUE!</v>
      </c>
      <c r="S99" s="227" t="e">
        <f t="shared" ca="1" si="31"/>
        <v>#VALUE!</v>
      </c>
      <c r="T99" s="227" t="e">
        <f t="shared" ca="1" si="31"/>
        <v>#VALUE!</v>
      </c>
      <c r="U99" s="227" t="e">
        <f t="shared" ca="1" si="31"/>
        <v>#VALUE!</v>
      </c>
      <c r="V99" s="227" t="e">
        <f t="shared" ca="1" si="31"/>
        <v>#VALUE!</v>
      </c>
      <c r="W99" s="227" t="e">
        <f t="shared" ca="1" si="31"/>
        <v>#VALUE!</v>
      </c>
      <c r="X99" s="227" t="e">
        <f t="shared" ca="1" si="31"/>
        <v>#VALUE!</v>
      </c>
      <c r="Y99" s="227" t="e">
        <f t="shared" ca="1" si="31"/>
        <v>#VALUE!</v>
      </c>
      <c r="Z99" s="227" t="e">
        <f t="shared" ca="1" si="31"/>
        <v>#VALUE!</v>
      </c>
      <c r="AA99" s="227" t="e">
        <f t="shared" ca="1" si="31"/>
        <v>#VALUE!</v>
      </c>
      <c r="AB99" s="227" t="e">
        <f t="shared" ca="1" si="31"/>
        <v>#VALUE!</v>
      </c>
      <c r="AC99" s="227" t="e">
        <f t="shared" ca="1" si="31"/>
        <v>#VALUE!</v>
      </c>
      <c r="AD99" s="227" t="e">
        <f t="shared" ca="1" si="31"/>
        <v>#VALUE!</v>
      </c>
      <c r="AE99" s="227" t="e">
        <f t="shared" ca="1" si="31"/>
        <v>#VALUE!</v>
      </c>
      <c r="AF99" s="227" t="e">
        <f t="shared" ca="1" si="31"/>
        <v>#VALUE!</v>
      </c>
      <c r="AG99" s="227" t="e">
        <f t="shared" ca="1" si="31"/>
        <v>#VALUE!</v>
      </c>
      <c r="AH99" s="227" t="e">
        <f t="shared" ca="1" si="31"/>
        <v>#VALUE!</v>
      </c>
      <c r="AI99" s="227" t="e">
        <f t="shared" ca="1" si="30"/>
        <v>#VALUE!</v>
      </c>
      <c r="AJ99" s="227" t="e">
        <f t="shared" ca="1" si="30"/>
        <v>#VALUE!</v>
      </c>
      <c r="AK99" s="227" t="e">
        <f t="shared" ca="1" si="30"/>
        <v>#VALUE!</v>
      </c>
      <c r="AL99" s="227" t="e">
        <f t="shared" ca="1" si="30"/>
        <v>#VALUE!</v>
      </c>
      <c r="AM99" s="227" t="e">
        <f t="shared" ca="1" si="30"/>
        <v>#VALUE!</v>
      </c>
      <c r="AN99" s="227" t="e">
        <f t="shared" ca="1" si="30"/>
        <v>#VALUE!</v>
      </c>
      <c r="AO99" s="227" t="e">
        <f t="shared" ca="1" si="30"/>
        <v>#VALUE!</v>
      </c>
      <c r="AP99" s="227" t="e">
        <f t="shared" ca="1" si="30"/>
        <v>#VALUE!</v>
      </c>
    </row>
    <row r="100" spans="1:42">
      <c r="A100" s="61" t="str">
        <f>'[5]TS BYDem'!A39</f>
        <v>*</v>
      </c>
      <c r="B100" s="227" t="s">
        <v>295</v>
      </c>
      <c r="C100" s="227" t="s">
        <v>138</v>
      </c>
      <c r="D100" s="227" t="str">
        <f>'[5]TS BYDem'!D39</f>
        <v>IFAE</v>
      </c>
      <c r="E100" s="227" t="s">
        <v>138</v>
      </c>
      <c r="F100" s="227" t="s">
        <v>138</v>
      </c>
      <c r="G100" s="227" t="s">
        <v>138</v>
      </c>
      <c r="H100" s="227" t="s">
        <v>138</v>
      </c>
      <c r="I100" s="227">
        <v>0</v>
      </c>
      <c r="J100" s="227" t="str">
        <f>INDEX('[5]TS BYDem'!$J$10:$J$203,MATCH(D100,'[5]TS BYDem'!$D$10:$D$203,0))</f>
        <v/>
      </c>
      <c r="K100" s="227" t="e">
        <f t="shared" ca="1" si="31"/>
        <v>#VALUE!</v>
      </c>
      <c r="L100" s="227" t="e">
        <f t="shared" ca="1" si="31"/>
        <v>#VALUE!</v>
      </c>
      <c r="M100" s="227" t="e">
        <f t="shared" ca="1" si="31"/>
        <v>#VALUE!</v>
      </c>
      <c r="N100" s="227" t="e">
        <f t="shared" ca="1" si="31"/>
        <v>#VALUE!</v>
      </c>
      <c r="O100" s="227" t="e">
        <f t="shared" ca="1" si="31"/>
        <v>#VALUE!</v>
      </c>
      <c r="P100" s="227" t="e">
        <f t="shared" ca="1" si="31"/>
        <v>#VALUE!</v>
      </c>
      <c r="Q100" s="227" t="e">
        <f t="shared" ca="1" si="31"/>
        <v>#VALUE!</v>
      </c>
      <c r="R100" s="227" t="e">
        <f t="shared" ca="1" si="31"/>
        <v>#VALUE!</v>
      </c>
      <c r="S100" s="227" t="e">
        <f t="shared" ca="1" si="31"/>
        <v>#VALUE!</v>
      </c>
      <c r="T100" s="227" t="e">
        <f t="shared" ca="1" si="31"/>
        <v>#VALUE!</v>
      </c>
      <c r="U100" s="227" t="e">
        <f t="shared" ca="1" si="31"/>
        <v>#VALUE!</v>
      </c>
      <c r="V100" s="227" t="e">
        <f t="shared" ca="1" si="31"/>
        <v>#VALUE!</v>
      </c>
      <c r="W100" s="227" t="e">
        <f t="shared" ca="1" si="31"/>
        <v>#VALUE!</v>
      </c>
      <c r="X100" s="227" t="e">
        <f t="shared" ca="1" si="31"/>
        <v>#VALUE!</v>
      </c>
      <c r="Y100" s="227" t="e">
        <f t="shared" ca="1" si="31"/>
        <v>#VALUE!</v>
      </c>
      <c r="Z100" s="227" t="e">
        <f t="shared" ca="1" si="31"/>
        <v>#VALUE!</v>
      </c>
      <c r="AA100" s="227" t="e">
        <f t="shared" ca="1" si="31"/>
        <v>#VALUE!</v>
      </c>
      <c r="AB100" s="227" t="e">
        <f t="shared" ca="1" si="31"/>
        <v>#VALUE!</v>
      </c>
      <c r="AC100" s="227" t="e">
        <f t="shared" ca="1" si="31"/>
        <v>#VALUE!</v>
      </c>
      <c r="AD100" s="227" t="e">
        <f t="shared" ca="1" si="31"/>
        <v>#VALUE!</v>
      </c>
      <c r="AE100" s="227" t="e">
        <f t="shared" ca="1" si="31"/>
        <v>#VALUE!</v>
      </c>
      <c r="AF100" s="227" t="e">
        <f t="shared" ca="1" si="31"/>
        <v>#VALUE!</v>
      </c>
      <c r="AG100" s="227" t="e">
        <f t="shared" ca="1" si="31"/>
        <v>#VALUE!</v>
      </c>
      <c r="AH100" s="227" t="e">
        <f t="shared" ca="1" si="31"/>
        <v>#VALUE!</v>
      </c>
      <c r="AI100" s="227" t="e">
        <f t="shared" ca="1" si="30"/>
        <v>#VALUE!</v>
      </c>
      <c r="AJ100" s="227" t="e">
        <f t="shared" ca="1" si="30"/>
        <v>#VALUE!</v>
      </c>
      <c r="AK100" s="227" t="e">
        <f t="shared" ca="1" si="30"/>
        <v>#VALUE!</v>
      </c>
      <c r="AL100" s="227" t="e">
        <f t="shared" ca="1" si="30"/>
        <v>#VALUE!</v>
      </c>
      <c r="AM100" s="227" t="e">
        <f t="shared" ca="1" si="30"/>
        <v>#VALUE!</v>
      </c>
      <c r="AN100" s="227" t="e">
        <f t="shared" ca="1" si="30"/>
        <v>#VALUE!</v>
      </c>
      <c r="AO100" s="227" t="e">
        <f t="shared" ca="1" si="30"/>
        <v>#VALUE!</v>
      </c>
      <c r="AP100" s="227" t="e">
        <f t="shared" ca="1" si="30"/>
        <v>#VALUE!</v>
      </c>
    </row>
    <row r="101" spans="1:42">
      <c r="A101" s="61" t="str">
        <f>'[5]TS BYDem'!A40</f>
        <v>*</v>
      </c>
      <c r="B101" s="227" t="s">
        <v>295</v>
      </c>
      <c r="C101" s="227" t="s">
        <v>138</v>
      </c>
      <c r="D101" s="227">
        <f>'[5]TS BYDem'!D40</f>
        <v>0</v>
      </c>
      <c r="E101" s="227" t="s">
        <v>138</v>
      </c>
      <c r="F101" s="227" t="s">
        <v>138</v>
      </c>
      <c r="G101" s="227" t="s">
        <v>138</v>
      </c>
      <c r="H101" s="227" t="s">
        <v>138</v>
      </c>
      <c r="I101" s="227">
        <v>0</v>
      </c>
      <c r="J101" s="227" t="str">
        <f>INDEX('[5]TS BYDem'!$J$10:$J$203,MATCH(D101,'[5]TS BYDem'!$D$10:$D$203,0))</f>
        <v/>
      </c>
      <c r="K101" s="227" t="e">
        <f t="shared" ca="1" si="31"/>
        <v>#VALUE!</v>
      </c>
      <c r="L101" s="227" t="e">
        <f t="shared" ca="1" si="31"/>
        <v>#VALUE!</v>
      </c>
      <c r="M101" s="227" t="e">
        <f t="shared" ca="1" si="31"/>
        <v>#VALUE!</v>
      </c>
      <c r="N101" s="227" t="e">
        <f t="shared" ca="1" si="31"/>
        <v>#VALUE!</v>
      </c>
      <c r="O101" s="227" t="e">
        <f t="shared" ca="1" si="31"/>
        <v>#VALUE!</v>
      </c>
      <c r="P101" s="227" t="e">
        <f t="shared" ca="1" si="31"/>
        <v>#VALUE!</v>
      </c>
      <c r="Q101" s="227" t="e">
        <f t="shared" ca="1" si="31"/>
        <v>#VALUE!</v>
      </c>
      <c r="R101" s="227" t="e">
        <f t="shared" ca="1" si="31"/>
        <v>#VALUE!</v>
      </c>
      <c r="S101" s="227" t="e">
        <f t="shared" ca="1" si="31"/>
        <v>#VALUE!</v>
      </c>
      <c r="T101" s="227" t="e">
        <f t="shared" ca="1" si="31"/>
        <v>#VALUE!</v>
      </c>
      <c r="U101" s="227" t="e">
        <f t="shared" ca="1" si="31"/>
        <v>#VALUE!</v>
      </c>
      <c r="V101" s="227" t="e">
        <f t="shared" ca="1" si="31"/>
        <v>#VALUE!</v>
      </c>
      <c r="W101" s="227" t="e">
        <f t="shared" ca="1" si="31"/>
        <v>#VALUE!</v>
      </c>
      <c r="X101" s="227" t="e">
        <f t="shared" ca="1" si="31"/>
        <v>#VALUE!</v>
      </c>
      <c r="Y101" s="227" t="e">
        <f t="shared" ca="1" si="31"/>
        <v>#VALUE!</v>
      </c>
      <c r="Z101" s="227" t="e">
        <f t="shared" ca="1" si="31"/>
        <v>#VALUE!</v>
      </c>
      <c r="AA101" s="227" t="e">
        <f t="shared" ca="1" si="31"/>
        <v>#VALUE!</v>
      </c>
      <c r="AB101" s="227" t="e">
        <f t="shared" ca="1" si="31"/>
        <v>#VALUE!</v>
      </c>
      <c r="AC101" s="227" t="e">
        <f t="shared" ca="1" si="31"/>
        <v>#VALUE!</v>
      </c>
      <c r="AD101" s="227" t="e">
        <f t="shared" ca="1" si="31"/>
        <v>#VALUE!</v>
      </c>
      <c r="AE101" s="227" t="e">
        <f t="shared" ca="1" si="31"/>
        <v>#VALUE!</v>
      </c>
      <c r="AF101" s="227" t="e">
        <f t="shared" ca="1" si="31"/>
        <v>#VALUE!</v>
      </c>
      <c r="AG101" s="227" t="e">
        <f t="shared" ca="1" si="31"/>
        <v>#VALUE!</v>
      </c>
      <c r="AH101" s="227" t="e">
        <f t="shared" ca="1" si="31"/>
        <v>#VALUE!</v>
      </c>
      <c r="AI101" s="227" t="e">
        <f t="shared" ca="1" si="30"/>
        <v>#VALUE!</v>
      </c>
      <c r="AJ101" s="227" t="e">
        <f t="shared" ca="1" si="30"/>
        <v>#VALUE!</v>
      </c>
      <c r="AK101" s="227" t="e">
        <f t="shared" ca="1" si="30"/>
        <v>#VALUE!</v>
      </c>
      <c r="AL101" s="227" t="e">
        <f t="shared" ca="1" si="30"/>
        <v>#VALUE!</v>
      </c>
      <c r="AM101" s="227" t="e">
        <f t="shared" ca="1" si="30"/>
        <v>#VALUE!</v>
      </c>
      <c r="AN101" s="227" t="e">
        <f t="shared" ca="1" si="30"/>
        <v>#VALUE!</v>
      </c>
      <c r="AO101" s="227" t="e">
        <f t="shared" ca="1" si="30"/>
        <v>#VALUE!</v>
      </c>
      <c r="AP101" s="227" t="e">
        <f t="shared" ca="1" si="30"/>
        <v>#VALUE!</v>
      </c>
    </row>
    <row r="102" spans="1:42">
      <c r="A102" s="61" t="str">
        <f>'[5]TS BYDem'!A41</f>
        <v>*</v>
      </c>
      <c r="B102" s="227" t="s">
        <v>295</v>
      </c>
      <c r="C102" s="227" t="s">
        <v>138</v>
      </c>
      <c r="D102" s="227" t="str">
        <f>'[5]TS BYDem'!D41</f>
        <v>IFAS</v>
      </c>
      <c r="E102" s="227" t="s">
        <v>138</v>
      </c>
      <c r="F102" s="227" t="s">
        <v>138</v>
      </c>
      <c r="G102" s="227" t="s">
        <v>138</v>
      </c>
      <c r="H102" s="227" t="s">
        <v>138</v>
      </c>
      <c r="I102" s="227">
        <v>0</v>
      </c>
      <c r="J102" s="227" t="str">
        <f>INDEX('[5]TS BYDem'!$J$10:$J$203,MATCH(D102,'[5]TS BYDem'!$D$10:$D$203,0))</f>
        <v/>
      </c>
      <c r="K102" s="227" t="e">
        <f t="shared" ca="1" si="31"/>
        <v>#VALUE!</v>
      </c>
      <c r="L102" s="227" t="e">
        <f t="shared" ca="1" si="31"/>
        <v>#VALUE!</v>
      </c>
      <c r="M102" s="227" t="e">
        <f t="shared" ca="1" si="31"/>
        <v>#VALUE!</v>
      </c>
      <c r="N102" s="227" t="e">
        <f t="shared" ca="1" si="31"/>
        <v>#VALUE!</v>
      </c>
      <c r="O102" s="227" t="e">
        <f t="shared" ca="1" si="31"/>
        <v>#VALUE!</v>
      </c>
      <c r="P102" s="227" t="e">
        <f t="shared" ca="1" si="31"/>
        <v>#VALUE!</v>
      </c>
      <c r="Q102" s="227" t="e">
        <f t="shared" ca="1" si="31"/>
        <v>#VALUE!</v>
      </c>
      <c r="R102" s="227" t="e">
        <f t="shared" ca="1" si="31"/>
        <v>#VALUE!</v>
      </c>
      <c r="S102" s="227" t="e">
        <f t="shared" ca="1" si="31"/>
        <v>#VALUE!</v>
      </c>
      <c r="T102" s="227" t="e">
        <f t="shared" ca="1" si="31"/>
        <v>#VALUE!</v>
      </c>
      <c r="U102" s="227" t="e">
        <f t="shared" ca="1" si="31"/>
        <v>#VALUE!</v>
      </c>
      <c r="V102" s="227" t="e">
        <f t="shared" ca="1" si="31"/>
        <v>#VALUE!</v>
      </c>
      <c r="W102" s="227" t="e">
        <f t="shared" ca="1" si="31"/>
        <v>#VALUE!</v>
      </c>
      <c r="X102" s="227" t="e">
        <f t="shared" ca="1" si="31"/>
        <v>#VALUE!</v>
      </c>
      <c r="Y102" s="227" t="e">
        <f t="shared" ca="1" si="31"/>
        <v>#VALUE!</v>
      </c>
      <c r="Z102" s="227" t="e">
        <f t="shared" ca="1" si="31"/>
        <v>#VALUE!</v>
      </c>
      <c r="AA102" s="227" t="e">
        <f t="shared" ca="1" si="31"/>
        <v>#VALUE!</v>
      </c>
      <c r="AB102" s="227" t="e">
        <f t="shared" ca="1" si="31"/>
        <v>#VALUE!</v>
      </c>
      <c r="AC102" s="227" t="e">
        <f t="shared" ca="1" si="31"/>
        <v>#VALUE!</v>
      </c>
      <c r="AD102" s="227" t="e">
        <f t="shared" ca="1" si="31"/>
        <v>#VALUE!</v>
      </c>
      <c r="AE102" s="227" t="e">
        <f t="shared" ca="1" si="31"/>
        <v>#VALUE!</v>
      </c>
      <c r="AF102" s="227" t="e">
        <f t="shared" ca="1" si="31"/>
        <v>#VALUE!</v>
      </c>
      <c r="AG102" s="227" t="e">
        <f t="shared" ca="1" si="31"/>
        <v>#VALUE!</v>
      </c>
      <c r="AH102" s="227" t="e">
        <f t="shared" ca="1" si="31"/>
        <v>#VALUE!</v>
      </c>
      <c r="AI102" s="227" t="e">
        <f t="shared" ca="1" si="30"/>
        <v>#VALUE!</v>
      </c>
      <c r="AJ102" s="227" t="e">
        <f t="shared" ca="1" si="30"/>
        <v>#VALUE!</v>
      </c>
      <c r="AK102" s="227" t="e">
        <f t="shared" ca="1" si="30"/>
        <v>#VALUE!</v>
      </c>
      <c r="AL102" s="227" t="e">
        <f t="shared" ca="1" si="30"/>
        <v>#VALUE!</v>
      </c>
      <c r="AM102" s="227" t="e">
        <f t="shared" ca="1" si="30"/>
        <v>#VALUE!</v>
      </c>
      <c r="AN102" s="227" t="e">
        <f t="shared" ca="1" si="30"/>
        <v>#VALUE!</v>
      </c>
      <c r="AO102" s="227" t="e">
        <f t="shared" ca="1" si="30"/>
        <v>#VALUE!</v>
      </c>
      <c r="AP102" s="227" t="e">
        <f t="shared" ca="1" si="30"/>
        <v>#VALUE!</v>
      </c>
    </row>
    <row r="103" spans="1:42">
      <c r="A103" s="61" t="str">
        <f>'[5]TS BYDem'!A42</f>
        <v>*</v>
      </c>
      <c r="B103" s="227" t="s">
        <v>295</v>
      </c>
      <c r="C103" s="227" t="s">
        <v>138</v>
      </c>
      <c r="D103" s="227" t="str">
        <f>'[5]TS BYDem'!D42</f>
        <v>IFAS</v>
      </c>
      <c r="E103" s="227" t="s">
        <v>138</v>
      </c>
      <c r="F103" s="227" t="s">
        <v>138</v>
      </c>
      <c r="G103" s="227" t="s">
        <v>138</v>
      </c>
      <c r="H103" s="227" t="s">
        <v>138</v>
      </c>
      <c r="I103" s="227">
        <v>0</v>
      </c>
      <c r="J103" s="227" t="str">
        <f>INDEX('[5]TS BYDem'!$J$10:$J$203,MATCH(D103,'[5]TS BYDem'!$D$10:$D$203,0))</f>
        <v/>
      </c>
      <c r="K103" s="227" t="e">
        <f t="shared" ca="1" si="31"/>
        <v>#VALUE!</v>
      </c>
      <c r="L103" s="227" t="e">
        <f t="shared" ca="1" si="31"/>
        <v>#VALUE!</v>
      </c>
      <c r="M103" s="227" t="e">
        <f t="shared" ca="1" si="31"/>
        <v>#VALUE!</v>
      </c>
      <c r="N103" s="227" t="e">
        <f t="shared" ca="1" si="31"/>
        <v>#VALUE!</v>
      </c>
      <c r="O103" s="227" t="e">
        <f t="shared" ca="1" si="31"/>
        <v>#VALUE!</v>
      </c>
      <c r="P103" s="227" t="e">
        <f t="shared" ca="1" si="31"/>
        <v>#VALUE!</v>
      </c>
      <c r="Q103" s="227" t="e">
        <f t="shared" ca="1" si="31"/>
        <v>#VALUE!</v>
      </c>
      <c r="R103" s="227" t="e">
        <f t="shared" ca="1" si="31"/>
        <v>#VALUE!</v>
      </c>
      <c r="S103" s="227" t="e">
        <f t="shared" ca="1" si="31"/>
        <v>#VALUE!</v>
      </c>
      <c r="T103" s="227" t="e">
        <f t="shared" ca="1" si="31"/>
        <v>#VALUE!</v>
      </c>
      <c r="U103" s="227" t="e">
        <f t="shared" ca="1" si="31"/>
        <v>#VALUE!</v>
      </c>
      <c r="V103" s="227" t="e">
        <f t="shared" ca="1" si="31"/>
        <v>#VALUE!</v>
      </c>
      <c r="W103" s="227" t="e">
        <f t="shared" ca="1" si="31"/>
        <v>#VALUE!</v>
      </c>
      <c r="X103" s="227" t="e">
        <f t="shared" ca="1" si="31"/>
        <v>#VALUE!</v>
      </c>
      <c r="Y103" s="227" t="e">
        <f t="shared" ca="1" si="31"/>
        <v>#VALUE!</v>
      </c>
      <c r="Z103" s="227" t="e">
        <f t="shared" ref="Z103:AO111" ca="1" si="32">Z$91/Y$91*Y103</f>
        <v>#VALUE!</v>
      </c>
      <c r="AA103" s="227" t="e">
        <f t="shared" ca="1" si="32"/>
        <v>#VALUE!</v>
      </c>
      <c r="AB103" s="227" t="e">
        <f t="shared" ca="1" si="32"/>
        <v>#VALUE!</v>
      </c>
      <c r="AC103" s="227" t="e">
        <f t="shared" ca="1" si="32"/>
        <v>#VALUE!</v>
      </c>
      <c r="AD103" s="227" t="e">
        <f t="shared" ca="1" si="32"/>
        <v>#VALUE!</v>
      </c>
      <c r="AE103" s="227" t="e">
        <f t="shared" ca="1" si="32"/>
        <v>#VALUE!</v>
      </c>
      <c r="AF103" s="227" t="e">
        <f t="shared" ca="1" si="32"/>
        <v>#VALUE!</v>
      </c>
      <c r="AG103" s="227" t="e">
        <f t="shared" ca="1" si="32"/>
        <v>#VALUE!</v>
      </c>
      <c r="AH103" s="227" t="e">
        <f t="shared" ca="1" si="32"/>
        <v>#VALUE!</v>
      </c>
      <c r="AI103" s="227" t="e">
        <f t="shared" ca="1" si="30"/>
        <v>#VALUE!</v>
      </c>
      <c r="AJ103" s="227" t="e">
        <f t="shared" ca="1" si="30"/>
        <v>#VALUE!</v>
      </c>
      <c r="AK103" s="227" t="e">
        <f t="shared" ca="1" si="30"/>
        <v>#VALUE!</v>
      </c>
      <c r="AL103" s="227" t="e">
        <f t="shared" ca="1" si="30"/>
        <v>#VALUE!</v>
      </c>
      <c r="AM103" s="227" t="e">
        <f t="shared" ca="1" si="30"/>
        <v>#VALUE!</v>
      </c>
      <c r="AN103" s="227" t="e">
        <f t="shared" ca="1" si="30"/>
        <v>#VALUE!</v>
      </c>
      <c r="AO103" s="227" t="e">
        <f t="shared" ca="1" si="30"/>
        <v>#VALUE!</v>
      </c>
      <c r="AP103" s="227" t="e">
        <f t="shared" ca="1" si="30"/>
        <v>#VALUE!</v>
      </c>
    </row>
    <row r="104" spans="1:42">
      <c r="A104" s="61" t="str">
        <f>'[5]TS BYDem'!A43</f>
        <v>*</v>
      </c>
      <c r="B104" s="227" t="s">
        <v>295</v>
      </c>
      <c r="C104" s="227" t="s">
        <v>138</v>
      </c>
      <c r="D104" s="227" t="str">
        <f>'[5]TS BYDem'!D43</f>
        <v>IFAS</v>
      </c>
      <c r="E104" s="227" t="s">
        <v>138</v>
      </c>
      <c r="F104" s="227" t="s">
        <v>138</v>
      </c>
      <c r="G104" s="227" t="s">
        <v>138</v>
      </c>
      <c r="H104" s="227" t="s">
        <v>138</v>
      </c>
      <c r="I104" s="227">
        <v>0</v>
      </c>
      <c r="J104" s="227" t="str">
        <f>INDEX('[5]TS BYDem'!$J$10:$J$203,MATCH(D104,'[5]TS BYDem'!$D$10:$D$203,0))</f>
        <v/>
      </c>
      <c r="K104" s="227" t="e">
        <f t="shared" ref="K104:Y111" ca="1" si="33">K$91/J$91*J104</f>
        <v>#VALUE!</v>
      </c>
      <c r="L104" s="227" t="e">
        <f t="shared" ca="1" si="33"/>
        <v>#VALUE!</v>
      </c>
      <c r="M104" s="227" t="e">
        <f t="shared" ca="1" si="33"/>
        <v>#VALUE!</v>
      </c>
      <c r="N104" s="227" t="e">
        <f t="shared" ca="1" si="33"/>
        <v>#VALUE!</v>
      </c>
      <c r="O104" s="227" t="e">
        <f t="shared" ca="1" si="33"/>
        <v>#VALUE!</v>
      </c>
      <c r="P104" s="227" t="e">
        <f t="shared" ca="1" si="33"/>
        <v>#VALUE!</v>
      </c>
      <c r="Q104" s="227" t="e">
        <f t="shared" ca="1" si="33"/>
        <v>#VALUE!</v>
      </c>
      <c r="R104" s="227" t="e">
        <f t="shared" ca="1" si="33"/>
        <v>#VALUE!</v>
      </c>
      <c r="S104" s="227" t="e">
        <f t="shared" ca="1" si="33"/>
        <v>#VALUE!</v>
      </c>
      <c r="T104" s="227" t="e">
        <f t="shared" ca="1" si="33"/>
        <v>#VALUE!</v>
      </c>
      <c r="U104" s="227" t="e">
        <f t="shared" ca="1" si="33"/>
        <v>#VALUE!</v>
      </c>
      <c r="V104" s="227" t="e">
        <f t="shared" ca="1" si="33"/>
        <v>#VALUE!</v>
      </c>
      <c r="W104" s="227" t="e">
        <f t="shared" ca="1" si="33"/>
        <v>#VALUE!</v>
      </c>
      <c r="X104" s="227" t="e">
        <f t="shared" ca="1" si="33"/>
        <v>#VALUE!</v>
      </c>
      <c r="Y104" s="227" t="e">
        <f t="shared" ca="1" si="33"/>
        <v>#VALUE!</v>
      </c>
      <c r="Z104" s="227" t="e">
        <f t="shared" ca="1" si="32"/>
        <v>#VALUE!</v>
      </c>
      <c r="AA104" s="227" t="e">
        <f t="shared" ca="1" si="32"/>
        <v>#VALUE!</v>
      </c>
      <c r="AB104" s="227" t="e">
        <f t="shared" ca="1" si="32"/>
        <v>#VALUE!</v>
      </c>
      <c r="AC104" s="227" t="e">
        <f t="shared" ca="1" si="32"/>
        <v>#VALUE!</v>
      </c>
      <c r="AD104" s="227" t="e">
        <f t="shared" ca="1" si="32"/>
        <v>#VALUE!</v>
      </c>
      <c r="AE104" s="227" t="e">
        <f t="shared" ca="1" si="32"/>
        <v>#VALUE!</v>
      </c>
      <c r="AF104" s="227" t="e">
        <f t="shared" ca="1" si="32"/>
        <v>#VALUE!</v>
      </c>
      <c r="AG104" s="227" t="e">
        <f t="shared" ca="1" si="32"/>
        <v>#VALUE!</v>
      </c>
      <c r="AH104" s="227" t="e">
        <f t="shared" ca="1" si="32"/>
        <v>#VALUE!</v>
      </c>
      <c r="AI104" s="227" t="e">
        <f t="shared" ca="1" si="30"/>
        <v>#VALUE!</v>
      </c>
      <c r="AJ104" s="227" t="e">
        <f t="shared" ca="1" si="30"/>
        <v>#VALUE!</v>
      </c>
      <c r="AK104" s="227" t="e">
        <f t="shared" ca="1" si="30"/>
        <v>#VALUE!</v>
      </c>
      <c r="AL104" s="227" t="e">
        <f t="shared" ca="1" si="30"/>
        <v>#VALUE!</v>
      </c>
      <c r="AM104" s="227" t="e">
        <f t="shared" ca="1" si="30"/>
        <v>#VALUE!</v>
      </c>
      <c r="AN104" s="227" t="e">
        <f t="shared" ca="1" si="30"/>
        <v>#VALUE!</v>
      </c>
      <c r="AO104" s="227" t="e">
        <f t="shared" ca="1" si="30"/>
        <v>#VALUE!</v>
      </c>
      <c r="AP104" s="227" t="e">
        <f t="shared" ca="1" si="30"/>
        <v>#VALUE!</v>
      </c>
    </row>
    <row r="105" spans="1:42">
      <c r="A105" s="61" t="str">
        <f>'[5]TS BYDem'!A44</f>
        <v>*</v>
      </c>
      <c r="B105" s="227" t="s">
        <v>295</v>
      </c>
      <c r="C105" s="227" t="s">
        <v>138</v>
      </c>
      <c r="D105" s="227" t="str">
        <f>'[5]TS BYDem'!D44</f>
        <v>IFAS</v>
      </c>
      <c r="E105" s="227" t="s">
        <v>138</v>
      </c>
      <c r="F105" s="227" t="s">
        <v>138</v>
      </c>
      <c r="G105" s="227" t="s">
        <v>138</v>
      </c>
      <c r="H105" s="227" t="s">
        <v>138</v>
      </c>
      <c r="I105" s="227">
        <v>0</v>
      </c>
      <c r="J105" s="227" t="str">
        <f>INDEX('[5]TS BYDem'!$J$10:$J$203,MATCH(D105,'[5]TS BYDem'!$D$10:$D$203,0))</f>
        <v/>
      </c>
      <c r="K105" s="227" t="e">
        <f t="shared" ca="1" si="33"/>
        <v>#VALUE!</v>
      </c>
      <c r="L105" s="227" t="e">
        <f t="shared" ca="1" si="33"/>
        <v>#VALUE!</v>
      </c>
      <c r="M105" s="227" t="e">
        <f t="shared" ca="1" si="33"/>
        <v>#VALUE!</v>
      </c>
      <c r="N105" s="227" t="e">
        <f t="shared" ca="1" si="33"/>
        <v>#VALUE!</v>
      </c>
      <c r="O105" s="227" t="e">
        <f t="shared" ca="1" si="33"/>
        <v>#VALUE!</v>
      </c>
      <c r="P105" s="227" t="e">
        <f t="shared" ca="1" si="33"/>
        <v>#VALUE!</v>
      </c>
      <c r="Q105" s="227" t="e">
        <f t="shared" ca="1" si="33"/>
        <v>#VALUE!</v>
      </c>
      <c r="R105" s="227" t="e">
        <f t="shared" ca="1" si="33"/>
        <v>#VALUE!</v>
      </c>
      <c r="S105" s="227" t="e">
        <f t="shared" ca="1" si="33"/>
        <v>#VALUE!</v>
      </c>
      <c r="T105" s="227" t="e">
        <f t="shared" ca="1" si="33"/>
        <v>#VALUE!</v>
      </c>
      <c r="U105" s="227" t="e">
        <f t="shared" ca="1" si="33"/>
        <v>#VALUE!</v>
      </c>
      <c r="V105" s="227" t="e">
        <f t="shared" ca="1" si="33"/>
        <v>#VALUE!</v>
      </c>
      <c r="W105" s="227" t="e">
        <f t="shared" ca="1" si="33"/>
        <v>#VALUE!</v>
      </c>
      <c r="X105" s="227" t="e">
        <f t="shared" ca="1" si="33"/>
        <v>#VALUE!</v>
      </c>
      <c r="Y105" s="227" t="e">
        <f t="shared" ca="1" si="33"/>
        <v>#VALUE!</v>
      </c>
      <c r="Z105" s="227" t="e">
        <f t="shared" ca="1" si="32"/>
        <v>#VALUE!</v>
      </c>
      <c r="AA105" s="227" t="e">
        <f t="shared" ca="1" si="32"/>
        <v>#VALUE!</v>
      </c>
      <c r="AB105" s="227" t="e">
        <f t="shared" ca="1" si="32"/>
        <v>#VALUE!</v>
      </c>
      <c r="AC105" s="227" t="e">
        <f t="shared" ca="1" si="32"/>
        <v>#VALUE!</v>
      </c>
      <c r="AD105" s="227" t="e">
        <f t="shared" ca="1" si="32"/>
        <v>#VALUE!</v>
      </c>
      <c r="AE105" s="227" t="e">
        <f t="shared" ca="1" si="32"/>
        <v>#VALUE!</v>
      </c>
      <c r="AF105" s="227" t="e">
        <f t="shared" ca="1" si="32"/>
        <v>#VALUE!</v>
      </c>
      <c r="AG105" s="227" t="e">
        <f t="shared" ca="1" si="32"/>
        <v>#VALUE!</v>
      </c>
      <c r="AH105" s="227" t="e">
        <f t="shared" ca="1" si="32"/>
        <v>#VALUE!</v>
      </c>
      <c r="AI105" s="227" t="e">
        <f t="shared" ca="1" si="30"/>
        <v>#VALUE!</v>
      </c>
      <c r="AJ105" s="227" t="e">
        <f t="shared" ca="1" si="30"/>
        <v>#VALUE!</v>
      </c>
      <c r="AK105" s="227" t="e">
        <f t="shared" ca="1" si="30"/>
        <v>#VALUE!</v>
      </c>
      <c r="AL105" s="227" t="e">
        <f t="shared" ca="1" si="30"/>
        <v>#VALUE!</v>
      </c>
      <c r="AM105" s="227" t="e">
        <f t="shared" ca="1" si="30"/>
        <v>#VALUE!</v>
      </c>
      <c r="AN105" s="227" t="e">
        <f t="shared" ca="1" si="30"/>
        <v>#VALUE!</v>
      </c>
      <c r="AO105" s="227" t="e">
        <f t="shared" ca="1" si="30"/>
        <v>#VALUE!</v>
      </c>
      <c r="AP105" s="227" t="e">
        <f t="shared" ca="1" si="30"/>
        <v>#VALUE!</v>
      </c>
    </row>
    <row r="106" spans="1:42">
      <c r="A106" s="61" t="str">
        <f>'[5]TS BYDem'!A45</f>
        <v>*</v>
      </c>
      <c r="B106" s="227" t="s">
        <v>295</v>
      </c>
      <c r="C106" s="227" t="s">
        <v>138</v>
      </c>
      <c r="D106" s="227" t="str">
        <f>'[5]TS BYDem'!D45</f>
        <v>IFAS</v>
      </c>
      <c r="E106" s="227" t="s">
        <v>138</v>
      </c>
      <c r="F106" s="227" t="s">
        <v>138</v>
      </c>
      <c r="G106" s="227" t="s">
        <v>138</v>
      </c>
      <c r="H106" s="227" t="s">
        <v>138</v>
      </c>
      <c r="I106" s="227">
        <v>0</v>
      </c>
      <c r="J106" s="227" t="str">
        <f>INDEX('[5]TS BYDem'!$J$10:$J$203,MATCH(D106,'[5]TS BYDem'!$D$10:$D$203,0))</f>
        <v/>
      </c>
      <c r="K106" s="227" t="e">
        <f t="shared" ca="1" si="33"/>
        <v>#VALUE!</v>
      </c>
      <c r="L106" s="227" t="e">
        <f t="shared" ca="1" si="33"/>
        <v>#VALUE!</v>
      </c>
      <c r="M106" s="227" t="e">
        <f t="shared" ca="1" si="33"/>
        <v>#VALUE!</v>
      </c>
      <c r="N106" s="227" t="e">
        <f t="shared" ca="1" si="33"/>
        <v>#VALUE!</v>
      </c>
      <c r="O106" s="227" t="e">
        <f t="shared" ca="1" si="33"/>
        <v>#VALUE!</v>
      </c>
      <c r="P106" s="227" t="e">
        <f t="shared" ca="1" si="33"/>
        <v>#VALUE!</v>
      </c>
      <c r="Q106" s="227" t="e">
        <f t="shared" ca="1" si="33"/>
        <v>#VALUE!</v>
      </c>
      <c r="R106" s="227" t="e">
        <f t="shared" ca="1" si="33"/>
        <v>#VALUE!</v>
      </c>
      <c r="S106" s="227" t="e">
        <f t="shared" ca="1" si="33"/>
        <v>#VALUE!</v>
      </c>
      <c r="T106" s="227" t="e">
        <f t="shared" ca="1" si="33"/>
        <v>#VALUE!</v>
      </c>
      <c r="U106" s="227" t="e">
        <f t="shared" ca="1" si="33"/>
        <v>#VALUE!</v>
      </c>
      <c r="V106" s="227" t="e">
        <f t="shared" ca="1" si="33"/>
        <v>#VALUE!</v>
      </c>
      <c r="W106" s="227" t="e">
        <f t="shared" ca="1" si="33"/>
        <v>#VALUE!</v>
      </c>
      <c r="X106" s="227" t="e">
        <f t="shared" ca="1" si="33"/>
        <v>#VALUE!</v>
      </c>
      <c r="Y106" s="227" t="e">
        <f t="shared" ca="1" si="33"/>
        <v>#VALUE!</v>
      </c>
      <c r="Z106" s="227" t="e">
        <f t="shared" ca="1" si="32"/>
        <v>#VALUE!</v>
      </c>
      <c r="AA106" s="227" t="e">
        <f t="shared" ca="1" si="32"/>
        <v>#VALUE!</v>
      </c>
      <c r="AB106" s="227" t="e">
        <f t="shared" ca="1" si="32"/>
        <v>#VALUE!</v>
      </c>
      <c r="AC106" s="227" t="e">
        <f t="shared" ca="1" si="32"/>
        <v>#VALUE!</v>
      </c>
      <c r="AD106" s="227" t="e">
        <f t="shared" ca="1" si="32"/>
        <v>#VALUE!</v>
      </c>
      <c r="AE106" s="227" t="e">
        <f t="shared" ca="1" si="32"/>
        <v>#VALUE!</v>
      </c>
      <c r="AF106" s="227" t="e">
        <f t="shared" ca="1" si="32"/>
        <v>#VALUE!</v>
      </c>
      <c r="AG106" s="227" t="e">
        <f t="shared" ca="1" si="32"/>
        <v>#VALUE!</v>
      </c>
      <c r="AH106" s="227" t="e">
        <f t="shared" ca="1" si="32"/>
        <v>#VALUE!</v>
      </c>
      <c r="AI106" s="227" t="e">
        <f t="shared" ca="1" si="30"/>
        <v>#VALUE!</v>
      </c>
      <c r="AJ106" s="227" t="e">
        <f t="shared" ca="1" si="30"/>
        <v>#VALUE!</v>
      </c>
      <c r="AK106" s="227" t="e">
        <f t="shared" ca="1" si="30"/>
        <v>#VALUE!</v>
      </c>
      <c r="AL106" s="227" t="e">
        <f t="shared" ca="1" si="30"/>
        <v>#VALUE!</v>
      </c>
      <c r="AM106" s="227" t="e">
        <f t="shared" ca="1" si="30"/>
        <v>#VALUE!</v>
      </c>
      <c r="AN106" s="227" t="e">
        <f t="shared" ca="1" si="30"/>
        <v>#VALUE!</v>
      </c>
      <c r="AO106" s="227" t="e">
        <f t="shared" ca="1" si="30"/>
        <v>#VALUE!</v>
      </c>
      <c r="AP106" s="227" t="e">
        <f t="shared" ca="1" si="30"/>
        <v>#VALUE!</v>
      </c>
    </row>
    <row r="107" spans="1:42">
      <c r="A107" s="61" t="str">
        <f>'[5]TS BYDem'!A46</f>
        <v>*</v>
      </c>
      <c r="B107" s="227" t="s">
        <v>295</v>
      </c>
      <c r="C107" s="227" t="s">
        <v>138</v>
      </c>
      <c r="D107" s="227" t="str">
        <f>'[5]TS BYDem'!D46</f>
        <v>IFAS</v>
      </c>
      <c r="E107" s="227" t="s">
        <v>138</v>
      </c>
      <c r="F107" s="227" t="s">
        <v>138</v>
      </c>
      <c r="G107" s="227" t="s">
        <v>138</v>
      </c>
      <c r="H107" s="227" t="s">
        <v>138</v>
      </c>
      <c r="I107" s="227">
        <v>0</v>
      </c>
      <c r="J107" s="227" t="str">
        <f>INDEX('[5]TS BYDem'!$J$10:$J$203,MATCH(D107,'[5]TS BYDem'!$D$10:$D$203,0))</f>
        <v/>
      </c>
      <c r="K107" s="227" t="e">
        <f t="shared" ca="1" si="33"/>
        <v>#VALUE!</v>
      </c>
      <c r="L107" s="227" t="e">
        <f t="shared" ca="1" si="33"/>
        <v>#VALUE!</v>
      </c>
      <c r="M107" s="227" t="e">
        <f t="shared" ca="1" si="33"/>
        <v>#VALUE!</v>
      </c>
      <c r="N107" s="227" t="e">
        <f t="shared" ca="1" si="33"/>
        <v>#VALUE!</v>
      </c>
      <c r="O107" s="227" t="e">
        <f t="shared" ca="1" si="33"/>
        <v>#VALUE!</v>
      </c>
      <c r="P107" s="227" t="e">
        <f t="shared" ca="1" si="33"/>
        <v>#VALUE!</v>
      </c>
      <c r="Q107" s="227" t="e">
        <f t="shared" ca="1" si="33"/>
        <v>#VALUE!</v>
      </c>
      <c r="R107" s="227" t="e">
        <f t="shared" ca="1" si="33"/>
        <v>#VALUE!</v>
      </c>
      <c r="S107" s="227" t="e">
        <f t="shared" ca="1" si="33"/>
        <v>#VALUE!</v>
      </c>
      <c r="T107" s="227" t="e">
        <f t="shared" ca="1" si="33"/>
        <v>#VALUE!</v>
      </c>
      <c r="U107" s="227" t="e">
        <f t="shared" ca="1" si="33"/>
        <v>#VALUE!</v>
      </c>
      <c r="V107" s="227" t="e">
        <f t="shared" ca="1" si="33"/>
        <v>#VALUE!</v>
      </c>
      <c r="W107" s="227" t="e">
        <f t="shared" ca="1" si="33"/>
        <v>#VALUE!</v>
      </c>
      <c r="X107" s="227" t="e">
        <f t="shared" ca="1" si="33"/>
        <v>#VALUE!</v>
      </c>
      <c r="Y107" s="227" t="e">
        <f t="shared" ca="1" si="33"/>
        <v>#VALUE!</v>
      </c>
      <c r="Z107" s="227" t="e">
        <f t="shared" ca="1" si="32"/>
        <v>#VALUE!</v>
      </c>
      <c r="AA107" s="227" t="e">
        <f t="shared" ca="1" si="32"/>
        <v>#VALUE!</v>
      </c>
      <c r="AB107" s="227" t="e">
        <f t="shared" ca="1" si="32"/>
        <v>#VALUE!</v>
      </c>
      <c r="AC107" s="227" t="e">
        <f t="shared" ca="1" si="32"/>
        <v>#VALUE!</v>
      </c>
      <c r="AD107" s="227" t="e">
        <f t="shared" ca="1" si="32"/>
        <v>#VALUE!</v>
      </c>
      <c r="AE107" s="227" t="e">
        <f t="shared" ca="1" si="32"/>
        <v>#VALUE!</v>
      </c>
      <c r="AF107" s="227" t="e">
        <f t="shared" ca="1" si="32"/>
        <v>#VALUE!</v>
      </c>
      <c r="AG107" s="227" t="e">
        <f t="shared" ca="1" si="32"/>
        <v>#VALUE!</v>
      </c>
      <c r="AH107" s="227" t="e">
        <f t="shared" ca="1" si="32"/>
        <v>#VALUE!</v>
      </c>
      <c r="AI107" s="227" t="e">
        <f t="shared" ca="1" si="30"/>
        <v>#VALUE!</v>
      </c>
      <c r="AJ107" s="227" t="e">
        <f t="shared" ca="1" si="30"/>
        <v>#VALUE!</v>
      </c>
      <c r="AK107" s="227" t="e">
        <f t="shared" ca="1" si="30"/>
        <v>#VALUE!</v>
      </c>
      <c r="AL107" s="227" t="e">
        <f t="shared" ca="1" si="30"/>
        <v>#VALUE!</v>
      </c>
      <c r="AM107" s="227" t="e">
        <f t="shared" ca="1" si="30"/>
        <v>#VALUE!</v>
      </c>
      <c r="AN107" s="227" t="e">
        <f t="shared" ca="1" si="30"/>
        <v>#VALUE!</v>
      </c>
      <c r="AO107" s="227" t="e">
        <f t="shared" ca="1" si="30"/>
        <v>#VALUE!</v>
      </c>
      <c r="AP107" s="227" t="e">
        <f t="shared" ca="1" si="30"/>
        <v>#VALUE!</v>
      </c>
    </row>
    <row r="108" spans="1:42">
      <c r="A108" s="61" t="str">
        <f>'[5]TS BYDem'!A47</f>
        <v>*</v>
      </c>
      <c r="B108" s="227" t="s">
        <v>295</v>
      </c>
      <c r="C108" s="227" t="s">
        <v>138</v>
      </c>
      <c r="D108" s="227">
        <f>'[5]TS BYDem'!D47</f>
        <v>0</v>
      </c>
      <c r="E108" s="227" t="s">
        <v>138</v>
      </c>
      <c r="F108" s="227" t="s">
        <v>138</v>
      </c>
      <c r="G108" s="227" t="s">
        <v>138</v>
      </c>
      <c r="H108" s="227" t="s">
        <v>138</v>
      </c>
      <c r="I108" s="227">
        <v>0</v>
      </c>
      <c r="J108" s="227" t="str">
        <f>INDEX('[5]TS BYDem'!$J$10:$J$203,MATCH(D108,'[5]TS BYDem'!$D$10:$D$203,0))</f>
        <v/>
      </c>
      <c r="K108" s="227" t="e">
        <f t="shared" ca="1" si="33"/>
        <v>#VALUE!</v>
      </c>
      <c r="L108" s="227" t="e">
        <f t="shared" ca="1" si="33"/>
        <v>#VALUE!</v>
      </c>
      <c r="M108" s="227" t="e">
        <f t="shared" ca="1" si="33"/>
        <v>#VALUE!</v>
      </c>
      <c r="N108" s="227" t="e">
        <f t="shared" ca="1" si="33"/>
        <v>#VALUE!</v>
      </c>
      <c r="O108" s="227" t="e">
        <f t="shared" ca="1" si="33"/>
        <v>#VALUE!</v>
      </c>
      <c r="P108" s="227" t="e">
        <f t="shared" ca="1" si="33"/>
        <v>#VALUE!</v>
      </c>
      <c r="Q108" s="227" t="e">
        <f t="shared" ca="1" si="33"/>
        <v>#VALUE!</v>
      </c>
      <c r="R108" s="227" t="e">
        <f t="shared" ca="1" si="33"/>
        <v>#VALUE!</v>
      </c>
      <c r="S108" s="227" t="e">
        <f t="shared" ca="1" si="33"/>
        <v>#VALUE!</v>
      </c>
      <c r="T108" s="227" t="e">
        <f t="shared" ca="1" si="33"/>
        <v>#VALUE!</v>
      </c>
      <c r="U108" s="227" t="e">
        <f t="shared" ca="1" si="33"/>
        <v>#VALUE!</v>
      </c>
      <c r="V108" s="227" t="e">
        <f t="shared" ca="1" si="33"/>
        <v>#VALUE!</v>
      </c>
      <c r="W108" s="227" t="e">
        <f t="shared" ca="1" si="33"/>
        <v>#VALUE!</v>
      </c>
      <c r="X108" s="227" t="e">
        <f t="shared" ca="1" si="33"/>
        <v>#VALUE!</v>
      </c>
      <c r="Y108" s="227" t="e">
        <f t="shared" ca="1" si="33"/>
        <v>#VALUE!</v>
      </c>
      <c r="Z108" s="227" t="e">
        <f t="shared" ca="1" si="32"/>
        <v>#VALUE!</v>
      </c>
      <c r="AA108" s="227" t="e">
        <f t="shared" ca="1" si="32"/>
        <v>#VALUE!</v>
      </c>
      <c r="AB108" s="227" t="e">
        <f t="shared" ca="1" si="32"/>
        <v>#VALUE!</v>
      </c>
      <c r="AC108" s="227" t="e">
        <f t="shared" ca="1" si="32"/>
        <v>#VALUE!</v>
      </c>
      <c r="AD108" s="227" t="e">
        <f t="shared" ca="1" si="32"/>
        <v>#VALUE!</v>
      </c>
      <c r="AE108" s="227" t="e">
        <f t="shared" ca="1" si="32"/>
        <v>#VALUE!</v>
      </c>
      <c r="AF108" s="227" t="e">
        <f t="shared" ca="1" si="32"/>
        <v>#VALUE!</v>
      </c>
      <c r="AG108" s="227" t="e">
        <f t="shared" ca="1" si="32"/>
        <v>#VALUE!</v>
      </c>
      <c r="AH108" s="227" t="e">
        <f t="shared" ca="1" si="32"/>
        <v>#VALUE!</v>
      </c>
      <c r="AI108" s="227" t="e">
        <f t="shared" ca="1" si="32"/>
        <v>#VALUE!</v>
      </c>
      <c r="AJ108" s="227" t="e">
        <f t="shared" ca="1" si="32"/>
        <v>#VALUE!</v>
      </c>
      <c r="AK108" s="227" t="e">
        <f t="shared" ca="1" si="32"/>
        <v>#VALUE!</v>
      </c>
      <c r="AL108" s="227" t="e">
        <f t="shared" ca="1" si="32"/>
        <v>#VALUE!</v>
      </c>
      <c r="AM108" s="227" t="e">
        <f t="shared" ca="1" si="32"/>
        <v>#VALUE!</v>
      </c>
      <c r="AN108" s="227" t="e">
        <f t="shared" ca="1" si="32"/>
        <v>#VALUE!</v>
      </c>
      <c r="AO108" s="227" t="e">
        <f t="shared" ca="1" si="32"/>
        <v>#VALUE!</v>
      </c>
      <c r="AP108" s="227" t="e">
        <f t="shared" ref="AP108:AP111" ca="1" si="34">AP$91/AO$91*AO108</f>
        <v>#VALUE!</v>
      </c>
    </row>
    <row r="109" spans="1:42">
      <c r="A109" s="61" t="str">
        <f>'[5]TS BYDem'!A48</f>
        <v>*</v>
      </c>
      <c r="B109" s="227" t="s">
        <v>295</v>
      </c>
      <c r="C109" s="227" t="s">
        <v>138</v>
      </c>
      <c r="D109" s="227" t="str">
        <f>'[5]TS BYDem'!D48</f>
        <v>IFAR</v>
      </c>
      <c r="E109" s="227" t="s">
        <v>138</v>
      </c>
      <c r="F109" s="227" t="s">
        <v>138</v>
      </c>
      <c r="G109" s="227" t="s">
        <v>138</v>
      </c>
      <c r="H109" s="227" t="s">
        <v>138</v>
      </c>
      <c r="I109" s="227">
        <v>0</v>
      </c>
      <c r="J109" s="227" t="str">
        <f>INDEX('[5]TS BYDem'!$J$10:$J$203,MATCH(D109,'[5]TS BYDem'!$D$10:$D$203,0))</f>
        <v/>
      </c>
      <c r="K109" s="227" t="e">
        <f t="shared" ca="1" si="33"/>
        <v>#VALUE!</v>
      </c>
      <c r="L109" s="227" t="e">
        <f t="shared" ca="1" si="33"/>
        <v>#VALUE!</v>
      </c>
      <c r="M109" s="227" t="e">
        <f t="shared" ca="1" si="33"/>
        <v>#VALUE!</v>
      </c>
      <c r="N109" s="227" t="e">
        <f t="shared" ca="1" si="33"/>
        <v>#VALUE!</v>
      </c>
      <c r="O109" s="227" t="e">
        <f t="shared" ca="1" si="33"/>
        <v>#VALUE!</v>
      </c>
      <c r="P109" s="227" t="e">
        <f t="shared" ca="1" si="33"/>
        <v>#VALUE!</v>
      </c>
      <c r="Q109" s="227" t="e">
        <f t="shared" ca="1" si="33"/>
        <v>#VALUE!</v>
      </c>
      <c r="R109" s="227" t="e">
        <f t="shared" ca="1" si="33"/>
        <v>#VALUE!</v>
      </c>
      <c r="S109" s="227" t="e">
        <f t="shared" ca="1" si="33"/>
        <v>#VALUE!</v>
      </c>
      <c r="T109" s="227" t="e">
        <f t="shared" ca="1" si="33"/>
        <v>#VALUE!</v>
      </c>
      <c r="U109" s="227" t="e">
        <f t="shared" ca="1" si="33"/>
        <v>#VALUE!</v>
      </c>
      <c r="V109" s="227" t="e">
        <f t="shared" ca="1" si="33"/>
        <v>#VALUE!</v>
      </c>
      <c r="W109" s="227" t="e">
        <f t="shared" ca="1" si="33"/>
        <v>#VALUE!</v>
      </c>
      <c r="X109" s="227" t="e">
        <f t="shared" ca="1" si="33"/>
        <v>#VALUE!</v>
      </c>
      <c r="Y109" s="227" t="e">
        <f t="shared" ca="1" si="33"/>
        <v>#VALUE!</v>
      </c>
      <c r="Z109" s="227" t="e">
        <f t="shared" ca="1" si="32"/>
        <v>#VALUE!</v>
      </c>
      <c r="AA109" s="227" t="e">
        <f t="shared" ca="1" si="32"/>
        <v>#VALUE!</v>
      </c>
      <c r="AB109" s="227" t="e">
        <f t="shared" ca="1" si="32"/>
        <v>#VALUE!</v>
      </c>
      <c r="AC109" s="227" t="e">
        <f t="shared" ca="1" si="32"/>
        <v>#VALUE!</v>
      </c>
      <c r="AD109" s="227" t="e">
        <f t="shared" ca="1" si="32"/>
        <v>#VALUE!</v>
      </c>
      <c r="AE109" s="227" t="e">
        <f t="shared" ca="1" si="32"/>
        <v>#VALUE!</v>
      </c>
      <c r="AF109" s="227" t="e">
        <f t="shared" ca="1" si="32"/>
        <v>#VALUE!</v>
      </c>
      <c r="AG109" s="227" t="e">
        <f t="shared" ca="1" si="32"/>
        <v>#VALUE!</v>
      </c>
      <c r="AH109" s="227" t="e">
        <f t="shared" ca="1" si="32"/>
        <v>#VALUE!</v>
      </c>
      <c r="AI109" s="227" t="e">
        <f t="shared" ca="1" si="32"/>
        <v>#VALUE!</v>
      </c>
      <c r="AJ109" s="227" t="e">
        <f t="shared" ca="1" si="32"/>
        <v>#VALUE!</v>
      </c>
      <c r="AK109" s="227" t="e">
        <f t="shared" ca="1" si="32"/>
        <v>#VALUE!</v>
      </c>
      <c r="AL109" s="227" t="e">
        <f t="shared" ca="1" si="32"/>
        <v>#VALUE!</v>
      </c>
      <c r="AM109" s="227" t="e">
        <f t="shared" ca="1" si="32"/>
        <v>#VALUE!</v>
      </c>
      <c r="AN109" s="227" t="e">
        <f t="shared" ca="1" si="32"/>
        <v>#VALUE!</v>
      </c>
      <c r="AO109" s="227" t="e">
        <f t="shared" ca="1" si="32"/>
        <v>#VALUE!</v>
      </c>
      <c r="AP109" s="227" t="e">
        <f t="shared" ca="1" si="34"/>
        <v>#VALUE!</v>
      </c>
    </row>
    <row r="110" spans="1:42">
      <c r="A110" s="61" t="str">
        <f>'[5]TS BYDem'!A49</f>
        <v>*</v>
      </c>
      <c r="B110" s="227" t="s">
        <v>295</v>
      </c>
      <c r="C110" s="227" t="s">
        <v>138</v>
      </c>
      <c r="D110" s="227" t="str">
        <f>'[5]TS BYDem'!D49</f>
        <v>Useful Energy Service</v>
      </c>
      <c r="E110" s="227" t="s">
        <v>138</v>
      </c>
      <c r="F110" s="227" t="s">
        <v>138</v>
      </c>
      <c r="G110" s="227" t="s">
        <v>138</v>
      </c>
      <c r="H110" s="227" t="s">
        <v>138</v>
      </c>
      <c r="I110" s="227">
        <v>0</v>
      </c>
      <c r="J110" s="227" t="str">
        <f>INDEX('[5]TS BYDem'!$J$10:$J$203,MATCH(D110,'[5]TS BYDem'!$D$10:$D$203,0))</f>
        <v/>
      </c>
      <c r="K110" s="227" t="e">
        <f t="shared" ca="1" si="33"/>
        <v>#VALUE!</v>
      </c>
      <c r="L110" s="227" t="e">
        <f t="shared" ca="1" si="33"/>
        <v>#VALUE!</v>
      </c>
      <c r="M110" s="227" t="e">
        <f t="shared" ca="1" si="33"/>
        <v>#VALUE!</v>
      </c>
      <c r="N110" s="227" t="e">
        <f t="shared" ca="1" si="33"/>
        <v>#VALUE!</v>
      </c>
      <c r="O110" s="227" t="e">
        <f t="shared" ca="1" si="33"/>
        <v>#VALUE!</v>
      </c>
      <c r="P110" s="227" t="e">
        <f t="shared" ca="1" si="33"/>
        <v>#VALUE!</v>
      </c>
      <c r="Q110" s="227" t="e">
        <f t="shared" ca="1" si="33"/>
        <v>#VALUE!</v>
      </c>
      <c r="R110" s="227" t="e">
        <f t="shared" ca="1" si="33"/>
        <v>#VALUE!</v>
      </c>
      <c r="S110" s="227" t="e">
        <f t="shared" ca="1" si="33"/>
        <v>#VALUE!</v>
      </c>
      <c r="T110" s="227" t="e">
        <f t="shared" ca="1" si="33"/>
        <v>#VALUE!</v>
      </c>
      <c r="U110" s="227" t="e">
        <f t="shared" ca="1" si="33"/>
        <v>#VALUE!</v>
      </c>
      <c r="V110" s="227" t="e">
        <f t="shared" ca="1" si="33"/>
        <v>#VALUE!</v>
      </c>
      <c r="W110" s="227" t="e">
        <f t="shared" ca="1" si="33"/>
        <v>#VALUE!</v>
      </c>
      <c r="X110" s="227" t="e">
        <f t="shared" ca="1" si="33"/>
        <v>#VALUE!</v>
      </c>
      <c r="Y110" s="227" t="e">
        <f t="shared" ca="1" si="33"/>
        <v>#VALUE!</v>
      </c>
      <c r="Z110" s="227" t="e">
        <f t="shared" ca="1" si="32"/>
        <v>#VALUE!</v>
      </c>
      <c r="AA110" s="227" t="e">
        <f t="shared" ca="1" si="32"/>
        <v>#VALUE!</v>
      </c>
      <c r="AB110" s="227" t="e">
        <f t="shared" ca="1" si="32"/>
        <v>#VALUE!</v>
      </c>
      <c r="AC110" s="227" t="e">
        <f t="shared" ca="1" si="32"/>
        <v>#VALUE!</v>
      </c>
      <c r="AD110" s="227" t="e">
        <f t="shared" ca="1" si="32"/>
        <v>#VALUE!</v>
      </c>
      <c r="AE110" s="227" t="e">
        <f t="shared" ca="1" si="32"/>
        <v>#VALUE!</v>
      </c>
      <c r="AF110" s="227" t="e">
        <f t="shared" ca="1" si="32"/>
        <v>#VALUE!</v>
      </c>
      <c r="AG110" s="227" t="e">
        <f t="shared" ca="1" si="32"/>
        <v>#VALUE!</v>
      </c>
      <c r="AH110" s="227" t="e">
        <f t="shared" ca="1" si="32"/>
        <v>#VALUE!</v>
      </c>
      <c r="AI110" s="227" t="e">
        <f t="shared" ca="1" si="32"/>
        <v>#VALUE!</v>
      </c>
      <c r="AJ110" s="227" t="e">
        <f t="shared" ca="1" si="32"/>
        <v>#VALUE!</v>
      </c>
      <c r="AK110" s="227" t="e">
        <f t="shared" ca="1" si="32"/>
        <v>#VALUE!</v>
      </c>
      <c r="AL110" s="227" t="e">
        <f t="shared" ca="1" si="32"/>
        <v>#VALUE!</v>
      </c>
      <c r="AM110" s="227" t="e">
        <f t="shared" ca="1" si="32"/>
        <v>#VALUE!</v>
      </c>
      <c r="AN110" s="227" t="e">
        <f t="shared" ca="1" si="32"/>
        <v>#VALUE!</v>
      </c>
      <c r="AO110" s="227" t="e">
        <f t="shared" ca="1" si="32"/>
        <v>#VALUE!</v>
      </c>
      <c r="AP110" s="227" t="e">
        <f t="shared" ca="1" si="34"/>
        <v>#VALUE!</v>
      </c>
    </row>
    <row r="111" spans="1:42">
      <c r="A111" s="61" t="str">
        <f>'[5]TS BYDem'!A50</f>
        <v>*</v>
      </c>
      <c r="B111" s="227" t="s">
        <v>295</v>
      </c>
      <c r="C111" s="227" t="s">
        <v>138</v>
      </c>
      <c r="D111" s="227">
        <f>'[5]TS BYDem'!D50</f>
        <v>0</v>
      </c>
      <c r="E111" s="227" t="s">
        <v>138</v>
      </c>
      <c r="F111" s="227" t="s">
        <v>138</v>
      </c>
      <c r="G111" s="227" t="s">
        <v>138</v>
      </c>
      <c r="H111" s="227" t="s">
        <v>138</v>
      </c>
      <c r="I111" s="227">
        <v>0</v>
      </c>
      <c r="J111" s="227" t="str">
        <f>INDEX('[5]TS BYDem'!$J$10:$J$203,MATCH(D111,'[5]TS BYDem'!$D$10:$D$203,0))</f>
        <v/>
      </c>
      <c r="K111" s="227" t="e">
        <f t="shared" ca="1" si="33"/>
        <v>#VALUE!</v>
      </c>
      <c r="L111" s="227" t="e">
        <f t="shared" ca="1" si="33"/>
        <v>#VALUE!</v>
      </c>
      <c r="M111" s="227" t="e">
        <f t="shared" ca="1" si="33"/>
        <v>#VALUE!</v>
      </c>
      <c r="N111" s="227" t="e">
        <f t="shared" ca="1" si="33"/>
        <v>#VALUE!</v>
      </c>
      <c r="O111" s="227" t="e">
        <f t="shared" ca="1" si="33"/>
        <v>#VALUE!</v>
      </c>
      <c r="P111" s="227" t="e">
        <f t="shared" ca="1" si="33"/>
        <v>#VALUE!</v>
      </c>
      <c r="Q111" s="227" t="e">
        <f t="shared" ca="1" si="33"/>
        <v>#VALUE!</v>
      </c>
      <c r="R111" s="227" t="e">
        <f t="shared" ca="1" si="33"/>
        <v>#VALUE!</v>
      </c>
      <c r="S111" s="227" t="e">
        <f t="shared" ca="1" si="33"/>
        <v>#VALUE!</v>
      </c>
      <c r="T111" s="227" t="e">
        <f t="shared" ca="1" si="33"/>
        <v>#VALUE!</v>
      </c>
      <c r="U111" s="227" t="e">
        <f t="shared" ca="1" si="33"/>
        <v>#VALUE!</v>
      </c>
      <c r="V111" s="227" t="e">
        <f t="shared" ca="1" si="33"/>
        <v>#VALUE!</v>
      </c>
      <c r="W111" s="227" t="e">
        <f t="shared" ca="1" si="33"/>
        <v>#VALUE!</v>
      </c>
      <c r="X111" s="227" t="e">
        <f t="shared" ca="1" si="33"/>
        <v>#VALUE!</v>
      </c>
      <c r="Y111" s="227" t="e">
        <f t="shared" ca="1" si="33"/>
        <v>#VALUE!</v>
      </c>
      <c r="Z111" s="227" t="e">
        <f t="shared" ca="1" si="32"/>
        <v>#VALUE!</v>
      </c>
      <c r="AA111" s="227" t="e">
        <f t="shared" ca="1" si="32"/>
        <v>#VALUE!</v>
      </c>
      <c r="AB111" s="227" t="e">
        <f t="shared" ca="1" si="32"/>
        <v>#VALUE!</v>
      </c>
      <c r="AC111" s="227" t="e">
        <f t="shared" ca="1" si="32"/>
        <v>#VALUE!</v>
      </c>
      <c r="AD111" s="227" t="e">
        <f t="shared" ca="1" si="32"/>
        <v>#VALUE!</v>
      </c>
      <c r="AE111" s="227" t="e">
        <f t="shared" ca="1" si="32"/>
        <v>#VALUE!</v>
      </c>
      <c r="AF111" s="227" t="e">
        <f t="shared" ca="1" si="32"/>
        <v>#VALUE!</v>
      </c>
      <c r="AG111" s="227" t="e">
        <f t="shared" ca="1" si="32"/>
        <v>#VALUE!</v>
      </c>
      <c r="AH111" s="227" t="e">
        <f t="shared" ca="1" si="32"/>
        <v>#VALUE!</v>
      </c>
      <c r="AI111" s="227" t="e">
        <f t="shared" ca="1" si="32"/>
        <v>#VALUE!</v>
      </c>
      <c r="AJ111" s="227" t="e">
        <f t="shared" ca="1" si="32"/>
        <v>#VALUE!</v>
      </c>
      <c r="AK111" s="227" t="e">
        <f t="shared" ca="1" si="32"/>
        <v>#VALUE!</v>
      </c>
      <c r="AL111" s="227" t="e">
        <f t="shared" ca="1" si="32"/>
        <v>#VALUE!</v>
      </c>
      <c r="AM111" s="227" t="e">
        <f t="shared" ca="1" si="32"/>
        <v>#VALUE!</v>
      </c>
      <c r="AN111" s="227" t="e">
        <f t="shared" ca="1" si="32"/>
        <v>#VALUE!</v>
      </c>
      <c r="AO111" s="227" t="e">
        <f t="shared" ca="1" si="32"/>
        <v>#VALUE!</v>
      </c>
      <c r="AP111" s="227" t="e">
        <f t="shared" ca="1" si="34"/>
        <v>#VALUE!</v>
      </c>
    </row>
    <row r="112" spans="1:42" s="5" customFormat="1">
      <c r="A112" s="61" t="str">
        <f>'[5]TS BYDem'!A51</f>
        <v>*</v>
      </c>
      <c r="B112" s="5">
        <f>B91+1</f>
        <v>3</v>
      </c>
      <c r="C112" s="3" t="str">
        <f ca="1">OFFSET($C$9,$B112,0)</f>
        <v>Iron &amp; Steel</v>
      </c>
      <c r="D112" s="3" t="str">
        <f ca="1">OFFSET($B$9,$B112,0)</f>
        <v>IS</v>
      </c>
      <c r="J112" s="5">
        <f ca="1">SUMIF($B$10:$B$22,$D112,J$10:J$22)*SUMIF($B$10:$B$22,$D112,J$41:J$53)</f>
        <v>9.3942736075330446E-3</v>
      </c>
      <c r="K112" s="5">
        <f t="shared" ref="K112:AP112" ca="1" si="35">SUMIF($B$10:$B$22,$D112,K$10:K$22)*SUMIF($B$10:$B$22,$D112,K$41:K$53)</f>
        <v>9.5543964067423322E-3</v>
      </c>
      <c r="L112" s="5">
        <f t="shared" ca="1" si="35"/>
        <v>9.7145192059516199E-3</v>
      </c>
      <c r="M112" s="5">
        <f t="shared" ca="1" si="35"/>
        <v>9.8746420051609076E-3</v>
      </c>
      <c r="N112" s="5">
        <f t="shared" ca="1" si="35"/>
        <v>9.8649439968021956E-3</v>
      </c>
      <c r="O112" s="5">
        <f t="shared" ca="1" si="35"/>
        <v>9.8552459884434836E-3</v>
      </c>
      <c r="P112" s="5">
        <f t="shared" ca="1" si="35"/>
        <v>9.8455479800847717E-3</v>
      </c>
      <c r="Q112" s="5">
        <f t="shared" ca="1" si="35"/>
        <v>9.8358499717260597E-3</v>
      </c>
      <c r="R112" s="5">
        <f t="shared" ca="1" si="35"/>
        <v>9.8261519633673477E-3</v>
      </c>
      <c r="S112" s="5">
        <f t="shared" ca="1" si="35"/>
        <v>9.9711351271391854E-3</v>
      </c>
      <c r="T112" s="5">
        <f t="shared" ca="1" si="35"/>
        <v>1.0116118290911023E-2</v>
      </c>
      <c r="U112" s="5">
        <f t="shared" ca="1" si="35"/>
        <v>1.0261101454682861E-2</v>
      </c>
      <c r="V112" s="5">
        <f t="shared" ca="1" si="35"/>
        <v>1.0406084618454698E-2</v>
      </c>
      <c r="W112" s="5">
        <f t="shared" ca="1" si="35"/>
        <v>1.0551067782226538E-2</v>
      </c>
      <c r="X112" s="5">
        <f t="shared" ca="1" si="35"/>
        <v>1.0863041435245309E-2</v>
      </c>
      <c r="Y112" s="5">
        <f t="shared" ca="1" si="35"/>
        <v>1.117501508826408E-2</v>
      </c>
      <c r="Z112" s="5">
        <f t="shared" ca="1" si="35"/>
        <v>1.1486988741282851E-2</v>
      </c>
      <c r="AA112" s="5">
        <f t="shared" ca="1" si="35"/>
        <v>1.1798962394301622E-2</v>
      </c>
      <c r="AB112" s="5">
        <f t="shared" ca="1" si="35"/>
        <v>1.2110936047320397E-2</v>
      </c>
      <c r="AC112" s="5">
        <f t="shared" ca="1" si="35"/>
        <v>1.2330215059638713E-2</v>
      </c>
      <c r="AD112" s="5">
        <f t="shared" ca="1" si="35"/>
        <v>1.2549494071957028E-2</v>
      </c>
      <c r="AE112" s="5">
        <f t="shared" ca="1" si="35"/>
        <v>1.2768773084275344E-2</v>
      </c>
      <c r="AF112" s="5">
        <f t="shared" ca="1" si="35"/>
        <v>1.298805209659366E-2</v>
      </c>
      <c r="AG112" s="5">
        <f t="shared" ca="1" si="35"/>
        <v>1.3207331108911972E-2</v>
      </c>
      <c r="AH112" s="5">
        <f t="shared" ca="1" si="35"/>
        <v>1.3491886134314819E-2</v>
      </c>
      <c r="AI112" s="5">
        <f t="shared" ca="1" si="35"/>
        <v>1.3776441159717667E-2</v>
      </c>
      <c r="AJ112" s="5">
        <f t="shared" ca="1" si="35"/>
        <v>1.4060996185120514E-2</v>
      </c>
      <c r="AK112" s="5">
        <f t="shared" ca="1" si="35"/>
        <v>1.4345551210523361E-2</v>
      </c>
      <c r="AL112" s="5">
        <f t="shared" ca="1" si="35"/>
        <v>1.4630106235926208E-2</v>
      </c>
      <c r="AM112" s="5">
        <f t="shared" ca="1" si="35"/>
        <v>1.5720226002454405E-2</v>
      </c>
      <c r="AN112" s="5">
        <f t="shared" ca="1" si="35"/>
        <v>1.6976780136067543E-2</v>
      </c>
      <c r="AO112" s="5">
        <f t="shared" ca="1" si="35"/>
        <v>1.9295714975028078E-2</v>
      </c>
      <c r="AP112" s="5">
        <f t="shared" ca="1" si="35"/>
        <v>2.1642388875169394E-2</v>
      </c>
    </row>
    <row r="113" spans="1:42">
      <c r="A113" s="61" t="str">
        <f>'[5]TS BYDem'!A52</f>
        <v>*</v>
      </c>
      <c r="B113" s="227" t="s">
        <v>295</v>
      </c>
      <c r="C113" s="227" t="s">
        <v>138</v>
      </c>
      <c r="D113" s="227" t="str">
        <f>'[5]TS BYDem'!D52</f>
        <v>IISK</v>
      </c>
      <c r="E113" s="227" t="s">
        <v>138</v>
      </c>
      <c r="F113" s="227" t="s">
        <v>138</v>
      </c>
      <c r="G113" s="227" t="s">
        <v>138</v>
      </c>
      <c r="H113" s="227" t="s">
        <v>138</v>
      </c>
      <c r="I113" s="227">
        <v>0</v>
      </c>
      <c r="J113" s="227" t="str">
        <f>INDEX('[5]TS BYDem'!$J$10:$J$203,MATCH(D113,'[5]TS BYDem'!$D$10:$D$203,0))</f>
        <v/>
      </c>
      <c r="K113" s="227" t="e">
        <f t="shared" ref="K113:Z128" ca="1" si="36">K$112/J$112*J113</f>
        <v>#VALUE!</v>
      </c>
      <c r="L113" s="227" t="e">
        <f t="shared" ca="1" si="36"/>
        <v>#VALUE!</v>
      </c>
      <c r="M113" s="227" t="e">
        <f t="shared" ca="1" si="36"/>
        <v>#VALUE!</v>
      </c>
      <c r="N113" s="227" t="e">
        <f t="shared" ca="1" si="36"/>
        <v>#VALUE!</v>
      </c>
      <c r="O113" s="227" t="e">
        <f t="shared" ca="1" si="36"/>
        <v>#VALUE!</v>
      </c>
      <c r="P113" s="227" t="e">
        <f t="shared" ca="1" si="36"/>
        <v>#VALUE!</v>
      </c>
      <c r="Q113" s="227" t="e">
        <f t="shared" ca="1" si="36"/>
        <v>#VALUE!</v>
      </c>
      <c r="R113" s="227" t="e">
        <f t="shared" ca="1" si="36"/>
        <v>#VALUE!</v>
      </c>
      <c r="S113" s="227" t="e">
        <f t="shared" ca="1" si="36"/>
        <v>#VALUE!</v>
      </c>
      <c r="T113" s="227" t="e">
        <f t="shared" ca="1" si="36"/>
        <v>#VALUE!</v>
      </c>
      <c r="U113" s="227" t="e">
        <f t="shared" ca="1" si="36"/>
        <v>#VALUE!</v>
      </c>
      <c r="V113" s="227" t="e">
        <f t="shared" ca="1" si="36"/>
        <v>#VALUE!</v>
      </c>
      <c r="W113" s="227" t="e">
        <f t="shared" ca="1" si="36"/>
        <v>#VALUE!</v>
      </c>
      <c r="X113" s="227" t="e">
        <f t="shared" ca="1" si="36"/>
        <v>#VALUE!</v>
      </c>
      <c r="Y113" s="227" t="e">
        <f t="shared" ca="1" si="36"/>
        <v>#VALUE!</v>
      </c>
      <c r="Z113" s="227" t="e">
        <f t="shared" ca="1" si="36"/>
        <v>#VALUE!</v>
      </c>
      <c r="AA113" s="227" t="e">
        <f t="shared" ref="AA113:AP128" ca="1" si="37">AA$112/Z$112*Z113</f>
        <v>#VALUE!</v>
      </c>
      <c r="AB113" s="227" t="e">
        <f t="shared" ca="1" si="37"/>
        <v>#VALUE!</v>
      </c>
      <c r="AC113" s="227" t="e">
        <f t="shared" ca="1" si="37"/>
        <v>#VALUE!</v>
      </c>
      <c r="AD113" s="227" t="e">
        <f t="shared" ca="1" si="37"/>
        <v>#VALUE!</v>
      </c>
      <c r="AE113" s="227" t="e">
        <f t="shared" ca="1" si="37"/>
        <v>#VALUE!</v>
      </c>
      <c r="AF113" s="227" t="e">
        <f t="shared" ca="1" si="37"/>
        <v>#VALUE!</v>
      </c>
      <c r="AG113" s="227" t="e">
        <f t="shared" ca="1" si="37"/>
        <v>#VALUE!</v>
      </c>
      <c r="AH113" s="227" t="e">
        <f t="shared" ca="1" si="37"/>
        <v>#VALUE!</v>
      </c>
      <c r="AI113" s="227" t="e">
        <f t="shared" ca="1" si="37"/>
        <v>#VALUE!</v>
      </c>
      <c r="AJ113" s="227" t="e">
        <f t="shared" ca="1" si="37"/>
        <v>#VALUE!</v>
      </c>
      <c r="AK113" s="227" t="e">
        <f t="shared" ca="1" si="37"/>
        <v>#VALUE!</v>
      </c>
      <c r="AL113" s="227" t="e">
        <f t="shared" ca="1" si="37"/>
        <v>#VALUE!</v>
      </c>
      <c r="AM113" s="227" t="e">
        <f t="shared" ca="1" si="37"/>
        <v>#VALUE!</v>
      </c>
      <c r="AN113" s="227" t="e">
        <f t="shared" ca="1" si="37"/>
        <v>#VALUE!</v>
      </c>
      <c r="AO113" s="227" t="e">
        <f t="shared" ca="1" si="37"/>
        <v>#VALUE!</v>
      </c>
      <c r="AP113" s="227" t="e">
        <f t="shared" ca="1" si="37"/>
        <v>#VALUE!</v>
      </c>
    </row>
    <row r="114" spans="1:42">
      <c r="A114" s="61" t="str">
        <f>'[5]TS BYDem'!A53</f>
        <v>*</v>
      </c>
      <c r="B114" s="227" t="s">
        <v>295</v>
      </c>
      <c r="C114" s="227" t="s">
        <v>138</v>
      </c>
      <c r="D114" s="227" t="str">
        <f>'[5]TS BYDem'!D53</f>
        <v>IISA</v>
      </c>
      <c r="E114" s="227" t="s">
        <v>138</v>
      </c>
      <c r="F114" s="227" t="s">
        <v>138</v>
      </c>
      <c r="G114" s="227" t="s">
        <v>138</v>
      </c>
      <c r="H114" s="227" t="s">
        <v>138</v>
      </c>
      <c r="I114" s="227">
        <v>0</v>
      </c>
      <c r="J114" s="227" t="str">
        <f>INDEX('[5]TS BYDem'!$J$10:$J$203,MATCH(D114,'[5]TS BYDem'!$D$10:$D$203,0))</f>
        <v/>
      </c>
      <c r="K114" s="227" t="e">
        <f t="shared" ca="1" si="36"/>
        <v>#VALUE!</v>
      </c>
      <c r="L114" s="227" t="e">
        <f t="shared" ca="1" si="36"/>
        <v>#VALUE!</v>
      </c>
      <c r="M114" s="227" t="e">
        <f t="shared" ca="1" si="36"/>
        <v>#VALUE!</v>
      </c>
      <c r="N114" s="227" t="e">
        <f t="shared" ca="1" si="36"/>
        <v>#VALUE!</v>
      </c>
      <c r="O114" s="227" t="e">
        <f t="shared" ca="1" si="36"/>
        <v>#VALUE!</v>
      </c>
      <c r="P114" s="227" t="e">
        <f t="shared" ca="1" si="36"/>
        <v>#VALUE!</v>
      </c>
      <c r="Q114" s="227" t="e">
        <f t="shared" ca="1" si="36"/>
        <v>#VALUE!</v>
      </c>
      <c r="R114" s="227" t="e">
        <f t="shared" ca="1" si="36"/>
        <v>#VALUE!</v>
      </c>
      <c r="S114" s="227" t="e">
        <f t="shared" ca="1" si="36"/>
        <v>#VALUE!</v>
      </c>
      <c r="T114" s="227" t="e">
        <f t="shared" ca="1" si="36"/>
        <v>#VALUE!</v>
      </c>
      <c r="U114" s="227" t="e">
        <f t="shared" ca="1" si="36"/>
        <v>#VALUE!</v>
      </c>
      <c r="V114" s="227" t="e">
        <f t="shared" ca="1" si="36"/>
        <v>#VALUE!</v>
      </c>
      <c r="W114" s="227" t="e">
        <f t="shared" ca="1" si="36"/>
        <v>#VALUE!</v>
      </c>
      <c r="X114" s="227" t="e">
        <f t="shared" ca="1" si="36"/>
        <v>#VALUE!</v>
      </c>
      <c r="Y114" s="227" t="e">
        <f t="shared" ca="1" si="36"/>
        <v>#VALUE!</v>
      </c>
      <c r="Z114" s="227" t="e">
        <f t="shared" ca="1" si="36"/>
        <v>#VALUE!</v>
      </c>
      <c r="AA114" s="227" t="e">
        <f t="shared" ca="1" si="37"/>
        <v>#VALUE!</v>
      </c>
      <c r="AB114" s="227" t="e">
        <f t="shared" ca="1" si="37"/>
        <v>#VALUE!</v>
      </c>
      <c r="AC114" s="227" t="e">
        <f t="shared" ca="1" si="37"/>
        <v>#VALUE!</v>
      </c>
      <c r="AD114" s="227" t="e">
        <f t="shared" ca="1" si="37"/>
        <v>#VALUE!</v>
      </c>
      <c r="AE114" s="227" t="e">
        <f t="shared" ca="1" si="37"/>
        <v>#VALUE!</v>
      </c>
      <c r="AF114" s="227" t="e">
        <f t="shared" ca="1" si="37"/>
        <v>#VALUE!</v>
      </c>
      <c r="AG114" s="227" t="e">
        <f t="shared" ca="1" si="37"/>
        <v>#VALUE!</v>
      </c>
      <c r="AH114" s="227" t="e">
        <f t="shared" ca="1" si="37"/>
        <v>#VALUE!</v>
      </c>
      <c r="AI114" s="227" t="e">
        <f t="shared" ca="1" si="37"/>
        <v>#VALUE!</v>
      </c>
      <c r="AJ114" s="227" t="e">
        <f t="shared" ca="1" si="37"/>
        <v>#VALUE!</v>
      </c>
      <c r="AK114" s="227" t="e">
        <f t="shared" ca="1" si="37"/>
        <v>#VALUE!</v>
      </c>
      <c r="AL114" s="227" t="e">
        <f t="shared" ca="1" si="37"/>
        <v>#VALUE!</v>
      </c>
      <c r="AM114" s="227" t="e">
        <f t="shared" ca="1" si="37"/>
        <v>#VALUE!</v>
      </c>
      <c r="AN114" s="227" t="e">
        <f t="shared" ca="1" si="37"/>
        <v>#VALUE!</v>
      </c>
      <c r="AO114" s="227" t="e">
        <f t="shared" ca="1" si="37"/>
        <v>#VALUE!</v>
      </c>
      <c r="AP114" s="227" t="e">
        <f t="shared" ca="1" si="37"/>
        <v>#VALUE!</v>
      </c>
    </row>
    <row r="115" spans="1:42">
      <c r="A115" s="61" t="str">
        <f>'[5]TS BYDem'!A54</f>
        <v>*</v>
      </c>
      <c r="B115" s="227" t="s">
        <v>295</v>
      </c>
      <c r="C115" s="227" t="s">
        <v>138</v>
      </c>
      <c r="D115" s="227" t="str">
        <f>'[5]TS BYDem'!D54</f>
        <v>IISL</v>
      </c>
      <c r="E115" s="227" t="s">
        <v>138</v>
      </c>
      <c r="F115" s="227" t="s">
        <v>138</v>
      </c>
      <c r="G115" s="227" t="s">
        <v>138</v>
      </c>
      <c r="H115" s="227" t="s">
        <v>138</v>
      </c>
      <c r="I115" s="227">
        <v>0</v>
      </c>
      <c r="J115" s="227" t="str">
        <f>INDEX('[5]TS BYDem'!$J$10:$J$203,MATCH(D115,'[5]TS BYDem'!$D$10:$D$203,0))</f>
        <v/>
      </c>
      <c r="K115" s="227" t="e">
        <f t="shared" ca="1" si="36"/>
        <v>#VALUE!</v>
      </c>
      <c r="L115" s="227" t="e">
        <f t="shared" ca="1" si="36"/>
        <v>#VALUE!</v>
      </c>
      <c r="M115" s="227" t="e">
        <f t="shared" ca="1" si="36"/>
        <v>#VALUE!</v>
      </c>
      <c r="N115" s="227" t="e">
        <f t="shared" ca="1" si="36"/>
        <v>#VALUE!</v>
      </c>
      <c r="O115" s="227" t="e">
        <f t="shared" ca="1" si="36"/>
        <v>#VALUE!</v>
      </c>
      <c r="P115" s="227" t="e">
        <f t="shared" ca="1" si="36"/>
        <v>#VALUE!</v>
      </c>
      <c r="Q115" s="227" t="e">
        <f t="shared" ca="1" si="36"/>
        <v>#VALUE!</v>
      </c>
      <c r="R115" s="227" t="e">
        <f t="shared" ca="1" si="36"/>
        <v>#VALUE!</v>
      </c>
      <c r="S115" s="227" t="e">
        <f t="shared" ca="1" si="36"/>
        <v>#VALUE!</v>
      </c>
      <c r="T115" s="227" t="e">
        <f t="shared" ca="1" si="36"/>
        <v>#VALUE!</v>
      </c>
      <c r="U115" s="227" t="e">
        <f t="shared" ca="1" si="36"/>
        <v>#VALUE!</v>
      </c>
      <c r="V115" s="227" t="e">
        <f t="shared" ca="1" si="36"/>
        <v>#VALUE!</v>
      </c>
      <c r="W115" s="227" t="e">
        <f t="shared" ca="1" si="36"/>
        <v>#VALUE!</v>
      </c>
      <c r="X115" s="227" t="e">
        <f t="shared" ca="1" si="36"/>
        <v>#VALUE!</v>
      </c>
      <c r="Y115" s="227" t="e">
        <f t="shared" ca="1" si="36"/>
        <v>#VALUE!</v>
      </c>
      <c r="Z115" s="227" t="e">
        <f t="shared" ca="1" si="36"/>
        <v>#VALUE!</v>
      </c>
      <c r="AA115" s="227" t="e">
        <f t="shared" ca="1" si="37"/>
        <v>#VALUE!</v>
      </c>
      <c r="AB115" s="227" t="e">
        <f t="shared" ca="1" si="37"/>
        <v>#VALUE!</v>
      </c>
      <c r="AC115" s="227" t="e">
        <f t="shared" ca="1" si="37"/>
        <v>#VALUE!</v>
      </c>
      <c r="AD115" s="227" t="e">
        <f t="shared" ca="1" si="37"/>
        <v>#VALUE!</v>
      </c>
      <c r="AE115" s="227" t="e">
        <f t="shared" ca="1" si="37"/>
        <v>#VALUE!</v>
      </c>
      <c r="AF115" s="227" t="e">
        <f t="shared" ca="1" si="37"/>
        <v>#VALUE!</v>
      </c>
      <c r="AG115" s="227" t="e">
        <f t="shared" ca="1" si="37"/>
        <v>#VALUE!</v>
      </c>
      <c r="AH115" s="227" t="e">
        <f t="shared" ca="1" si="37"/>
        <v>#VALUE!</v>
      </c>
      <c r="AI115" s="227" t="e">
        <f t="shared" ca="1" si="37"/>
        <v>#VALUE!</v>
      </c>
      <c r="AJ115" s="227" t="e">
        <f t="shared" ca="1" si="37"/>
        <v>#VALUE!</v>
      </c>
      <c r="AK115" s="227" t="e">
        <f t="shared" ca="1" si="37"/>
        <v>#VALUE!</v>
      </c>
      <c r="AL115" s="227" t="e">
        <f t="shared" ca="1" si="37"/>
        <v>#VALUE!</v>
      </c>
      <c r="AM115" s="227" t="e">
        <f t="shared" ca="1" si="37"/>
        <v>#VALUE!</v>
      </c>
      <c r="AN115" s="227" t="e">
        <f t="shared" ca="1" si="37"/>
        <v>#VALUE!</v>
      </c>
      <c r="AO115" s="227" t="e">
        <f t="shared" ca="1" si="37"/>
        <v>#VALUE!</v>
      </c>
      <c r="AP115" s="227" t="e">
        <f t="shared" ca="1" si="37"/>
        <v>#VALUE!</v>
      </c>
    </row>
    <row r="116" spans="1:42">
      <c r="A116" s="61" t="str">
        <f>'[5]TS BYDem'!A55</f>
        <v>*</v>
      </c>
      <c r="B116" s="227" t="s">
        <v>295</v>
      </c>
      <c r="C116" s="227" t="s">
        <v>138</v>
      </c>
      <c r="D116" s="227" t="str">
        <f>'[5]TS BYDem'!D55</f>
        <v>IISC</v>
      </c>
      <c r="E116" s="227" t="s">
        <v>138</v>
      </c>
      <c r="F116" s="227" t="s">
        <v>138</v>
      </c>
      <c r="G116" s="227" t="s">
        <v>138</v>
      </c>
      <c r="H116" s="227" t="s">
        <v>138</v>
      </c>
      <c r="I116" s="227">
        <v>0</v>
      </c>
      <c r="J116" s="227" t="str">
        <f>INDEX('[5]TS BYDem'!$J$10:$J$203,MATCH(D116,'[5]TS BYDem'!$D$10:$D$203,0))</f>
        <v/>
      </c>
      <c r="K116" s="227" t="e">
        <f t="shared" ca="1" si="36"/>
        <v>#VALUE!</v>
      </c>
      <c r="L116" s="227" t="e">
        <f t="shared" ca="1" si="36"/>
        <v>#VALUE!</v>
      </c>
      <c r="M116" s="227" t="e">
        <f t="shared" ca="1" si="36"/>
        <v>#VALUE!</v>
      </c>
      <c r="N116" s="227" t="e">
        <f t="shared" ca="1" si="36"/>
        <v>#VALUE!</v>
      </c>
      <c r="O116" s="227" t="e">
        <f t="shared" ca="1" si="36"/>
        <v>#VALUE!</v>
      </c>
      <c r="P116" s="227" t="e">
        <f t="shared" ca="1" si="36"/>
        <v>#VALUE!</v>
      </c>
      <c r="Q116" s="227" t="e">
        <f t="shared" ca="1" si="36"/>
        <v>#VALUE!</v>
      </c>
      <c r="R116" s="227" t="e">
        <f t="shared" ca="1" si="36"/>
        <v>#VALUE!</v>
      </c>
      <c r="S116" s="227" t="e">
        <f t="shared" ca="1" si="36"/>
        <v>#VALUE!</v>
      </c>
      <c r="T116" s="227" t="e">
        <f t="shared" ca="1" si="36"/>
        <v>#VALUE!</v>
      </c>
      <c r="U116" s="227" t="e">
        <f t="shared" ca="1" si="36"/>
        <v>#VALUE!</v>
      </c>
      <c r="V116" s="227" t="e">
        <f t="shared" ca="1" si="36"/>
        <v>#VALUE!</v>
      </c>
      <c r="W116" s="227" t="e">
        <f t="shared" ca="1" si="36"/>
        <v>#VALUE!</v>
      </c>
      <c r="X116" s="227" t="e">
        <f t="shared" ca="1" si="36"/>
        <v>#VALUE!</v>
      </c>
      <c r="Y116" s="227" t="e">
        <f t="shared" ca="1" si="36"/>
        <v>#VALUE!</v>
      </c>
      <c r="Z116" s="227" t="e">
        <f t="shared" ca="1" si="36"/>
        <v>#VALUE!</v>
      </c>
      <c r="AA116" s="227" t="e">
        <f t="shared" ca="1" si="37"/>
        <v>#VALUE!</v>
      </c>
      <c r="AB116" s="227" t="e">
        <f t="shared" ca="1" si="37"/>
        <v>#VALUE!</v>
      </c>
      <c r="AC116" s="227" t="e">
        <f t="shared" ca="1" si="37"/>
        <v>#VALUE!</v>
      </c>
      <c r="AD116" s="227" t="e">
        <f t="shared" ca="1" si="37"/>
        <v>#VALUE!</v>
      </c>
      <c r="AE116" s="227" t="e">
        <f t="shared" ca="1" si="37"/>
        <v>#VALUE!</v>
      </c>
      <c r="AF116" s="227" t="e">
        <f t="shared" ca="1" si="37"/>
        <v>#VALUE!</v>
      </c>
      <c r="AG116" s="227" t="e">
        <f t="shared" ca="1" si="37"/>
        <v>#VALUE!</v>
      </c>
      <c r="AH116" s="227" t="e">
        <f t="shared" ca="1" si="37"/>
        <v>#VALUE!</v>
      </c>
      <c r="AI116" s="227" t="e">
        <f t="shared" ca="1" si="37"/>
        <v>#VALUE!</v>
      </c>
      <c r="AJ116" s="227" t="e">
        <f t="shared" ca="1" si="37"/>
        <v>#VALUE!</v>
      </c>
      <c r="AK116" s="227" t="e">
        <f t="shared" ca="1" si="37"/>
        <v>#VALUE!</v>
      </c>
      <c r="AL116" s="227" t="e">
        <f t="shared" ca="1" si="37"/>
        <v>#VALUE!</v>
      </c>
      <c r="AM116" s="227" t="e">
        <f t="shared" ca="1" si="37"/>
        <v>#VALUE!</v>
      </c>
      <c r="AN116" s="227" t="e">
        <f t="shared" ca="1" si="37"/>
        <v>#VALUE!</v>
      </c>
      <c r="AO116" s="227" t="e">
        <f t="shared" ca="1" si="37"/>
        <v>#VALUE!</v>
      </c>
      <c r="AP116" s="227" t="e">
        <f t="shared" ca="1" si="37"/>
        <v>#VALUE!</v>
      </c>
    </row>
    <row r="117" spans="1:42">
      <c r="A117" s="61" t="str">
        <f>'[5]TS BYDem'!A56</f>
        <v>*</v>
      </c>
      <c r="B117" s="227" t="s">
        <v>295</v>
      </c>
      <c r="C117" s="227" t="s">
        <v>138</v>
      </c>
      <c r="D117" s="227" t="str">
        <f>'[5]TS BYDem'!D56</f>
        <v>IISH</v>
      </c>
      <c r="E117" s="227" t="s">
        <v>138</v>
      </c>
      <c r="F117" s="227" t="s">
        <v>138</v>
      </c>
      <c r="G117" s="227" t="s">
        <v>138</v>
      </c>
      <c r="H117" s="227" t="s">
        <v>138</v>
      </c>
      <c r="I117" s="227">
        <v>0</v>
      </c>
      <c r="J117" s="227" t="str">
        <f>INDEX('[5]TS BYDem'!$J$10:$J$203,MATCH(D117,'[5]TS BYDem'!$D$10:$D$203,0))</f>
        <v/>
      </c>
      <c r="K117" s="227" t="e">
        <f t="shared" ca="1" si="36"/>
        <v>#VALUE!</v>
      </c>
      <c r="L117" s="227" t="e">
        <f t="shared" ca="1" si="36"/>
        <v>#VALUE!</v>
      </c>
      <c r="M117" s="227" t="e">
        <f t="shared" ca="1" si="36"/>
        <v>#VALUE!</v>
      </c>
      <c r="N117" s="227" t="e">
        <f t="shared" ca="1" si="36"/>
        <v>#VALUE!</v>
      </c>
      <c r="O117" s="227" t="e">
        <f t="shared" ca="1" si="36"/>
        <v>#VALUE!</v>
      </c>
      <c r="P117" s="227" t="e">
        <f t="shared" ca="1" si="36"/>
        <v>#VALUE!</v>
      </c>
      <c r="Q117" s="227" t="e">
        <f t="shared" ca="1" si="36"/>
        <v>#VALUE!</v>
      </c>
      <c r="R117" s="227" t="e">
        <f t="shared" ca="1" si="36"/>
        <v>#VALUE!</v>
      </c>
      <c r="S117" s="227" t="e">
        <f t="shared" ca="1" si="36"/>
        <v>#VALUE!</v>
      </c>
      <c r="T117" s="227" t="e">
        <f t="shared" ca="1" si="36"/>
        <v>#VALUE!</v>
      </c>
      <c r="U117" s="227" t="e">
        <f t="shared" ca="1" si="36"/>
        <v>#VALUE!</v>
      </c>
      <c r="V117" s="227" t="e">
        <f t="shared" ca="1" si="36"/>
        <v>#VALUE!</v>
      </c>
      <c r="W117" s="227" t="e">
        <f t="shared" ca="1" si="36"/>
        <v>#VALUE!</v>
      </c>
      <c r="X117" s="227" t="e">
        <f t="shared" ca="1" si="36"/>
        <v>#VALUE!</v>
      </c>
      <c r="Y117" s="227" t="e">
        <f t="shared" ca="1" si="36"/>
        <v>#VALUE!</v>
      </c>
      <c r="Z117" s="227" t="e">
        <f t="shared" ca="1" si="36"/>
        <v>#VALUE!</v>
      </c>
      <c r="AA117" s="227" t="e">
        <f t="shared" ca="1" si="37"/>
        <v>#VALUE!</v>
      </c>
      <c r="AB117" s="227" t="e">
        <f t="shared" ca="1" si="37"/>
        <v>#VALUE!</v>
      </c>
      <c r="AC117" s="227" t="e">
        <f t="shared" ca="1" si="37"/>
        <v>#VALUE!</v>
      </c>
      <c r="AD117" s="227" t="e">
        <f t="shared" ca="1" si="37"/>
        <v>#VALUE!</v>
      </c>
      <c r="AE117" s="227" t="e">
        <f t="shared" ca="1" si="37"/>
        <v>#VALUE!</v>
      </c>
      <c r="AF117" s="227" t="e">
        <f t="shared" ca="1" si="37"/>
        <v>#VALUE!</v>
      </c>
      <c r="AG117" s="227" t="e">
        <f t="shared" ca="1" si="37"/>
        <v>#VALUE!</v>
      </c>
      <c r="AH117" s="227" t="e">
        <f t="shared" ca="1" si="37"/>
        <v>#VALUE!</v>
      </c>
      <c r="AI117" s="227" t="e">
        <f t="shared" ca="1" si="37"/>
        <v>#VALUE!</v>
      </c>
      <c r="AJ117" s="227" t="e">
        <f t="shared" ca="1" si="37"/>
        <v>#VALUE!</v>
      </c>
      <c r="AK117" s="227" t="e">
        <f t="shared" ca="1" si="37"/>
        <v>#VALUE!</v>
      </c>
      <c r="AL117" s="227" t="e">
        <f t="shared" ca="1" si="37"/>
        <v>#VALUE!</v>
      </c>
      <c r="AM117" s="227" t="e">
        <f t="shared" ca="1" si="37"/>
        <v>#VALUE!</v>
      </c>
      <c r="AN117" s="227" t="e">
        <f t="shared" ca="1" si="37"/>
        <v>#VALUE!</v>
      </c>
      <c r="AO117" s="227" t="e">
        <f t="shared" ca="1" si="37"/>
        <v>#VALUE!</v>
      </c>
      <c r="AP117" s="227" t="e">
        <f t="shared" ca="1" si="37"/>
        <v>#VALUE!</v>
      </c>
    </row>
    <row r="118" spans="1:42">
      <c r="A118" s="61" t="str">
        <f>'[5]TS BYDem'!A57</f>
        <v>*</v>
      </c>
      <c r="B118" s="227" t="s">
        <v>295</v>
      </c>
      <c r="C118" s="227" t="s">
        <v>138</v>
      </c>
      <c r="D118" s="227" t="str">
        <f>'[5]TS BYDem'!D57</f>
        <v>IISP</v>
      </c>
      <c r="E118" s="227" t="s">
        <v>138</v>
      </c>
      <c r="F118" s="227" t="s">
        <v>138</v>
      </c>
      <c r="G118" s="227" t="s">
        <v>138</v>
      </c>
      <c r="H118" s="227" t="s">
        <v>138</v>
      </c>
      <c r="I118" s="227">
        <v>0</v>
      </c>
      <c r="J118" s="227" t="str">
        <f>INDEX('[5]TS BYDem'!$J$10:$J$203,MATCH(D118,'[5]TS BYDem'!$D$10:$D$203,0))</f>
        <v/>
      </c>
      <c r="K118" s="227" t="e">
        <f t="shared" ca="1" si="36"/>
        <v>#VALUE!</v>
      </c>
      <c r="L118" s="227" t="e">
        <f t="shared" ca="1" si="36"/>
        <v>#VALUE!</v>
      </c>
      <c r="M118" s="227" t="e">
        <f t="shared" ca="1" si="36"/>
        <v>#VALUE!</v>
      </c>
      <c r="N118" s="227" t="e">
        <f t="shared" ca="1" si="36"/>
        <v>#VALUE!</v>
      </c>
      <c r="O118" s="227" t="e">
        <f t="shared" ca="1" si="36"/>
        <v>#VALUE!</v>
      </c>
      <c r="P118" s="227" t="e">
        <f t="shared" ca="1" si="36"/>
        <v>#VALUE!</v>
      </c>
      <c r="Q118" s="227" t="e">
        <f t="shared" ca="1" si="36"/>
        <v>#VALUE!</v>
      </c>
      <c r="R118" s="227" t="e">
        <f t="shared" ca="1" si="36"/>
        <v>#VALUE!</v>
      </c>
      <c r="S118" s="227" t="e">
        <f t="shared" ca="1" si="36"/>
        <v>#VALUE!</v>
      </c>
      <c r="T118" s="227" t="e">
        <f t="shared" ca="1" si="36"/>
        <v>#VALUE!</v>
      </c>
      <c r="U118" s="227" t="e">
        <f t="shared" ca="1" si="36"/>
        <v>#VALUE!</v>
      </c>
      <c r="V118" s="227" t="e">
        <f t="shared" ca="1" si="36"/>
        <v>#VALUE!</v>
      </c>
      <c r="W118" s="227" t="e">
        <f t="shared" ca="1" si="36"/>
        <v>#VALUE!</v>
      </c>
      <c r="X118" s="227" t="e">
        <f t="shared" ca="1" si="36"/>
        <v>#VALUE!</v>
      </c>
      <c r="Y118" s="227" t="e">
        <f t="shared" ca="1" si="36"/>
        <v>#VALUE!</v>
      </c>
      <c r="Z118" s="227" t="e">
        <f t="shared" ca="1" si="36"/>
        <v>#VALUE!</v>
      </c>
      <c r="AA118" s="227" t="e">
        <f t="shared" ca="1" si="37"/>
        <v>#VALUE!</v>
      </c>
      <c r="AB118" s="227" t="e">
        <f t="shared" ca="1" si="37"/>
        <v>#VALUE!</v>
      </c>
      <c r="AC118" s="227" t="e">
        <f t="shared" ca="1" si="37"/>
        <v>#VALUE!</v>
      </c>
      <c r="AD118" s="227" t="e">
        <f t="shared" ca="1" si="37"/>
        <v>#VALUE!</v>
      </c>
      <c r="AE118" s="227" t="e">
        <f t="shared" ca="1" si="37"/>
        <v>#VALUE!</v>
      </c>
      <c r="AF118" s="227" t="e">
        <f t="shared" ca="1" si="37"/>
        <v>#VALUE!</v>
      </c>
      <c r="AG118" s="227" t="e">
        <f t="shared" ca="1" si="37"/>
        <v>#VALUE!</v>
      </c>
      <c r="AH118" s="227" t="e">
        <f t="shared" ca="1" si="37"/>
        <v>#VALUE!</v>
      </c>
      <c r="AI118" s="227" t="e">
        <f t="shared" ca="1" si="37"/>
        <v>#VALUE!</v>
      </c>
      <c r="AJ118" s="227" t="e">
        <f t="shared" ca="1" si="37"/>
        <v>#VALUE!</v>
      </c>
      <c r="AK118" s="227" t="e">
        <f t="shared" ca="1" si="37"/>
        <v>#VALUE!</v>
      </c>
      <c r="AL118" s="227" t="e">
        <f t="shared" ca="1" si="37"/>
        <v>#VALUE!</v>
      </c>
      <c r="AM118" s="227" t="e">
        <f t="shared" ca="1" si="37"/>
        <v>#VALUE!</v>
      </c>
      <c r="AN118" s="227" t="e">
        <f t="shared" ca="1" si="37"/>
        <v>#VALUE!</v>
      </c>
      <c r="AO118" s="227" t="e">
        <f t="shared" ca="1" si="37"/>
        <v>#VALUE!</v>
      </c>
      <c r="AP118" s="227" t="e">
        <f t="shared" ca="1" si="37"/>
        <v>#VALUE!</v>
      </c>
    </row>
    <row r="119" spans="1:42">
      <c r="A119" s="61" t="str">
        <f>'[5]TS BYDem'!A58</f>
        <v>*</v>
      </c>
      <c r="B119" s="227" t="s">
        <v>295</v>
      </c>
      <c r="C119" s="227" t="s">
        <v>138</v>
      </c>
      <c r="D119" s="227" t="str">
        <f>'[5]TS BYDem'!D58</f>
        <v>IISF</v>
      </c>
      <c r="E119" s="227" t="s">
        <v>138</v>
      </c>
      <c r="F119" s="227" t="s">
        <v>138</v>
      </c>
      <c r="G119" s="227" t="s">
        <v>138</v>
      </c>
      <c r="H119" s="227" t="s">
        <v>138</v>
      </c>
      <c r="I119" s="227">
        <v>0</v>
      </c>
      <c r="J119" s="227" t="str">
        <f>INDEX('[5]TS BYDem'!$J$10:$J$203,MATCH(D119,'[5]TS BYDem'!$D$10:$D$203,0))</f>
        <v/>
      </c>
      <c r="K119" s="227" t="e">
        <f t="shared" ca="1" si="36"/>
        <v>#VALUE!</v>
      </c>
      <c r="L119" s="227" t="e">
        <f t="shared" ca="1" si="36"/>
        <v>#VALUE!</v>
      </c>
      <c r="M119" s="227" t="e">
        <f t="shared" ca="1" si="36"/>
        <v>#VALUE!</v>
      </c>
      <c r="N119" s="227" t="e">
        <f t="shared" ca="1" si="36"/>
        <v>#VALUE!</v>
      </c>
      <c r="O119" s="227" t="e">
        <f t="shared" ca="1" si="36"/>
        <v>#VALUE!</v>
      </c>
      <c r="P119" s="227" t="e">
        <f t="shared" ca="1" si="36"/>
        <v>#VALUE!</v>
      </c>
      <c r="Q119" s="227" t="e">
        <f t="shared" ca="1" si="36"/>
        <v>#VALUE!</v>
      </c>
      <c r="R119" s="227" t="e">
        <f t="shared" ca="1" si="36"/>
        <v>#VALUE!</v>
      </c>
      <c r="S119" s="227" t="e">
        <f t="shared" ca="1" si="36"/>
        <v>#VALUE!</v>
      </c>
      <c r="T119" s="227" t="e">
        <f t="shared" ca="1" si="36"/>
        <v>#VALUE!</v>
      </c>
      <c r="U119" s="227" t="e">
        <f t="shared" ca="1" si="36"/>
        <v>#VALUE!</v>
      </c>
      <c r="V119" s="227" t="e">
        <f t="shared" ca="1" si="36"/>
        <v>#VALUE!</v>
      </c>
      <c r="W119" s="227" t="e">
        <f t="shared" ca="1" si="36"/>
        <v>#VALUE!</v>
      </c>
      <c r="X119" s="227" t="e">
        <f t="shared" ca="1" si="36"/>
        <v>#VALUE!</v>
      </c>
      <c r="Y119" s="227" t="e">
        <f t="shared" ca="1" si="36"/>
        <v>#VALUE!</v>
      </c>
      <c r="Z119" s="227" t="e">
        <f t="shared" ca="1" si="36"/>
        <v>#VALUE!</v>
      </c>
      <c r="AA119" s="227" t="e">
        <f t="shared" ca="1" si="37"/>
        <v>#VALUE!</v>
      </c>
      <c r="AB119" s="227" t="e">
        <f t="shared" ca="1" si="37"/>
        <v>#VALUE!</v>
      </c>
      <c r="AC119" s="227" t="e">
        <f t="shared" ca="1" si="37"/>
        <v>#VALUE!</v>
      </c>
      <c r="AD119" s="227" t="e">
        <f t="shared" ca="1" si="37"/>
        <v>#VALUE!</v>
      </c>
      <c r="AE119" s="227" t="e">
        <f t="shared" ca="1" si="37"/>
        <v>#VALUE!</v>
      </c>
      <c r="AF119" s="227" t="e">
        <f t="shared" ca="1" si="37"/>
        <v>#VALUE!</v>
      </c>
      <c r="AG119" s="227" t="e">
        <f t="shared" ca="1" si="37"/>
        <v>#VALUE!</v>
      </c>
      <c r="AH119" s="227" t="e">
        <f t="shared" ca="1" si="37"/>
        <v>#VALUE!</v>
      </c>
      <c r="AI119" s="227" t="e">
        <f t="shared" ca="1" si="37"/>
        <v>#VALUE!</v>
      </c>
      <c r="AJ119" s="227" t="e">
        <f t="shared" ca="1" si="37"/>
        <v>#VALUE!</v>
      </c>
      <c r="AK119" s="227" t="e">
        <f t="shared" ca="1" si="37"/>
        <v>#VALUE!</v>
      </c>
      <c r="AL119" s="227" t="e">
        <f t="shared" ca="1" si="37"/>
        <v>#VALUE!</v>
      </c>
      <c r="AM119" s="227" t="e">
        <f t="shared" ca="1" si="37"/>
        <v>#VALUE!</v>
      </c>
      <c r="AN119" s="227" t="e">
        <f t="shared" ca="1" si="37"/>
        <v>#VALUE!</v>
      </c>
      <c r="AO119" s="227" t="e">
        <f t="shared" ca="1" si="37"/>
        <v>#VALUE!</v>
      </c>
      <c r="AP119" s="227" t="e">
        <f t="shared" ca="1" si="37"/>
        <v>#VALUE!</v>
      </c>
    </row>
    <row r="120" spans="1:42">
      <c r="A120" s="61" t="str">
        <f>'[5]TS BYDem'!A59</f>
        <v>*</v>
      </c>
      <c r="B120" s="227" t="s">
        <v>295</v>
      </c>
      <c r="C120" s="227" t="s">
        <v>138</v>
      </c>
      <c r="D120" s="227" t="str">
        <f>'[5]TS BYDem'!D59</f>
        <v>IISO</v>
      </c>
      <c r="E120" s="227" t="s">
        <v>138</v>
      </c>
      <c r="F120" s="227" t="s">
        <v>138</v>
      </c>
      <c r="G120" s="227" t="s">
        <v>138</v>
      </c>
      <c r="H120" s="227" t="s">
        <v>138</v>
      </c>
      <c r="I120" s="227">
        <v>0</v>
      </c>
      <c r="J120" s="227" t="str">
        <f>INDEX('[5]TS BYDem'!$J$10:$J$203,MATCH(D120,'[5]TS BYDem'!$D$10:$D$203,0))</f>
        <v/>
      </c>
      <c r="K120" s="227" t="e">
        <f t="shared" ca="1" si="36"/>
        <v>#VALUE!</v>
      </c>
      <c r="L120" s="227" t="e">
        <f t="shared" ca="1" si="36"/>
        <v>#VALUE!</v>
      </c>
      <c r="M120" s="227" t="e">
        <f t="shared" ca="1" si="36"/>
        <v>#VALUE!</v>
      </c>
      <c r="N120" s="227" t="e">
        <f t="shared" ca="1" si="36"/>
        <v>#VALUE!</v>
      </c>
      <c r="O120" s="227" t="e">
        <f t="shared" ca="1" si="36"/>
        <v>#VALUE!</v>
      </c>
      <c r="P120" s="227" t="e">
        <f t="shared" ca="1" si="36"/>
        <v>#VALUE!</v>
      </c>
      <c r="Q120" s="227" t="e">
        <f t="shared" ca="1" si="36"/>
        <v>#VALUE!</v>
      </c>
      <c r="R120" s="227" t="e">
        <f t="shared" ca="1" si="36"/>
        <v>#VALUE!</v>
      </c>
      <c r="S120" s="227" t="e">
        <f t="shared" ca="1" si="36"/>
        <v>#VALUE!</v>
      </c>
      <c r="T120" s="227" t="e">
        <f t="shared" ca="1" si="36"/>
        <v>#VALUE!</v>
      </c>
      <c r="U120" s="227" t="e">
        <f t="shared" ca="1" si="36"/>
        <v>#VALUE!</v>
      </c>
      <c r="V120" s="227" t="e">
        <f t="shared" ca="1" si="36"/>
        <v>#VALUE!</v>
      </c>
      <c r="W120" s="227" t="e">
        <f t="shared" ca="1" si="36"/>
        <v>#VALUE!</v>
      </c>
      <c r="X120" s="227" t="e">
        <f t="shared" ca="1" si="36"/>
        <v>#VALUE!</v>
      </c>
      <c r="Y120" s="227" t="e">
        <f t="shared" ca="1" si="36"/>
        <v>#VALUE!</v>
      </c>
      <c r="Z120" s="227" t="e">
        <f t="shared" ca="1" si="36"/>
        <v>#VALUE!</v>
      </c>
      <c r="AA120" s="227" t="e">
        <f t="shared" ca="1" si="37"/>
        <v>#VALUE!</v>
      </c>
      <c r="AB120" s="227" t="e">
        <f t="shared" ca="1" si="37"/>
        <v>#VALUE!</v>
      </c>
      <c r="AC120" s="227" t="e">
        <f t="shared" ca="1" si="37"/>
        <v>#VALUE!</v>
      </c>
      <c r="AD120" s="227" t="e">
        <f t="shared" ca="1" si="37"/>
        <v>#VALUE!</v>
      </c>
      <c r="AE120" s="227" t="e">
        <f t="shared" ca="1" si="37"/>
        <v>#VALUE!</v>
      </c>
      <c r="AF120" s="227" t="e">
        <f t="shared" ca="1" si="37"/>
        <v>#VALUE!</v>
      </c>
      <c r="AG120" s="227" t="e">
        <f t="shared" ca="1" si="37"/>
        <v>#VALUE!</v>
      </c>
      <c r="AH120" s="227" t="e">
        <f t="shared" ca="1" si="37"/>
        <v>#VALUE!</v>
      </c>
      <c r="AI120" s="227" t="e">
        <f t="shared" ca="1" si="37"/>
        <v>#VALUE!</v>
      </c>
      <c r="AJ120" s="227" t="e">
        <f t="shared" ca="1" si="37"/>
        <v>#VALUE!</v>
      </c>
      <c r="AK120" s="227" t="e">
        <f t="shared" ca="1" si="37"/>
        <v>#VALUE!</v>
      </c>
      <c r="AL120" s="227" t="e">
        <f t="shared" ca="1" si="37"/>
        <v>#VALUE!</v>
      </c>
      <c r="AM120" s="227" t="e">
        <f t="shared" ca="1" si="37"/>
        <v>#VALUE!</v>
      </c>
      <c r="AN120" s="227" t="e">
        <f t="shared" ca="1" si="37"/>
        <v>#VALUE!</v>
      </c>
      <c r="AO120" s="227" t="e">
        <f t="shared" ca="1" si="37"/>
        <v>#VALUE!</v>
      </c>
      <c r="AP120" s="227" t="e">
        <f t="shared" ca="1" si="37"/>
        <v>#VALUE!</v>
      </c>
    </row>
    <row r="121" spans="1:42">
      <c r="A121" s="61" t="str">
        <f>'[5]TS BYDem'!A60</f>
        <v>*</v>
      </c>
      <c r="B121" s="227" t="s">
        <v>295</v>
      </c>
      <c r="C121" s="227" t="s">
        <v>138</v>
      </c>
      <c r="D121" s="227" t="str">
        <f>'[5]TS BYDem'!D60</f>
        <v>IISE</v>
      </c>
      <c r="E121" s="227" t="s">
        <v>138</v>
      </c>
      <c r="F121" s="227" t="s">
        <v>138</v>
      </c>
      <c r="G121" s="227" t="s">
        <v>138</v>
      </c>
      <c r="H121" s="227" t="s">
        <v>138</v>
      </c>
      <c r="I121" s="227">
        <v>0</v>
      </c>
      <c r="J121" s="227" t="str">
        <f>INDEX('[5]TS BYDem'!$J$10:$J$203,MATCH(D121,'[5]TS BYDem'!$D$10:$D$203,0))</f>
        <v/>
      </c>
      <c r="K121" s="227" t="e">
        <f t="shared" ca="1" si="36"/>
        <v>#VALUE!</v>
      </c>
      <c r="L121" s="227" t="e">
        <f t="shared" ca="1" si="36"/>
        <v>#VALUE!</v>
      </c>
      <c r="M121" s="227" t="e">
        <f t="shared" ca="1" si="36"/>
        <v>#VALUE!</v>
      </c>
      <c r="N121" s="227" t="e">
        <f t="shared" ca="1" si="36"/>
        <v>#VALUE!</v>
      </c>
      <c r="O121" s="227" t="e">
        <f t="shared" ca="1" si="36"/>
        <v>#VALUE!</v>
      </c>
      <c r="P121" s="227" t="e">
        <f t="shared" ca="1" si="36"/>
        <v>#VALUE!</v>
      </c>
      <c r="Q121" s="227" t="e">
        <f t="shared" ca="1" si="36"/>
        <v>#VALUE!</v>
      </c>
      <c r="R121" s="227" t="e">
        <f t="shared" ca="1" si="36"/>
        <v>#VALUE!</v>
      </c>
      <c r="S121" s="227" t="e">
        <f t="shared" ca="1" si="36"/>
        <v>#VALUE!</v>
      </c>
      <c r="T121" s="227" t="e">
        <f t="shared" ca="1" si="36"/>
        <v>#VALUE!</v>
      </c>
      <c r="U121" s="227" t="e">
        <f t="shared" ca="1" si="36"/>
        <v>#VALUE!</v>
      </c>
      <c r="V121" s="227" t="e">
        <f t="shared" ca="1" si="36"/>
        <v>#VALUE!</v>
      </c>
      <c r="W121" s="227" t="e">
        <f t="shared" ca="1" si="36"/>
        <v>#VALUE!</v>
      </c>
      <c r="X121" s="227" t="e">
        <f t="shared" ca="1" si="36"/>
        <v>#VALUE!</v>
      </c>
      <c r="Y121" s="227" t="e">
        <f t="shared" ca="1" si="36"/>
        <v>#VALUE!</v>
      </c>
      <c r="Z121" s="227" t="e">
        <f t="shared" ca="1" si="36"/>
        <v>#VALUE!</v>
      </c>
      <c r="AA121" s="227" t="e">
        <f t="shared" ca="1" si="37"/>
        <v>#VALUE!</v>
      </c>
      <c r="AB121" s="227" t="e">
        <f t="shared" ca="1" si="37"/>
        <v>#VALUE!</v>
      </c>
      <c r="AC121" s="227" t="e">
        <f t="shared" ca="1" si="37"/>
        <v>#VALUE!</v>
      </c>
      <c r="AD121" s="227" t="e">
        <f t="shared" ca="1" si="37"/>
        <v>#VALUE!</v>
      </c>
      <c r="AE121" s="227" t="e">
        <f t="shared" ca="1" si="37"/>
        <v>#VALUE!</v>
      </c>
      <c r="AF121" s="227" t="e">
        <f t="shared" ca="1" si="37"/>
        <v>#VALUE!</v>
      </c>
      <c r="AG121" s="227" t="e">
        <f t="shared" ca="1" si="37"/>
        <v>#VALUE!</v>
      </c>
      <c r="AH121" s="227" t="e">
        <f t="shared" ca="1" si="37"/>
        <v>#VALUE!</v>
      </c>
      <c r="AI121" s="227" t="e">
        <f t="shared" ca="1" si="37"/>
        <v>#VALUE!</v>
      </c>
      <c r="AJ121" s="227" t="e">
        <f t="shared" ca="1" si="37"/>
        <v>#VALUE!</v>
      </c>
      <c r="AK121" s="227" t="e">
        <f t="shared" ca="1" si="37"/>
        <v>#VALUE!</v>
      </c>
      <c r="AL121" s="227" t="e">
        <f t="shared" ca="1" si="37"/>
        <v>#VALUE!</v>
      </c>
      <c r="AM121" s="227" t="e">
        <f t="shared" ca="1" si="37"/>
        <v>#VALUE!</v>
      </c>
      <c r="AN121" s="227" t="e">
        <f t="shared" ca="1" si="37"/>
        <v>#VALUE!</v>
      </c>
      <c r="AO121" s="227" t="e">
        <f t="shared" ca="1" si="37"/>
        <v>#VALUE!</v>
      </c>
      <c r="AP121" s="227" t="e">
        <f t="shared" ca="1" si="37"/>
        <v>#VALUE!</v>
      </c>
    </row>
    <row r="122" spans="1:42">
      <c r="A122" s="61" t="str">
        <f>'[5]TS BYDem'!A61</f>
        <v>*</v>
      </c>
      <c r="B122" s="227" t="s">
        <v>295</v>
      </c>
      <c r="C122" s="227" t="s">
        <v>138</v>
      </c>
      <c r="D122" s="227" t="str">
        <f>'[5]TS BYDem'!D61</f>
        <v xml:space="preserve"> </v>
      </c>
      <c r="E122" s="227" t="s">
        <v>138</v>
      </c>
      <c r="F122" s="227" t="s">
        <v>138</v>
      </c>
      <c r="G122" s="227" t="s">
        <v>138</v>
      </c>
      <c r="H122" s="227" t="s">
        <v>138</v>
      </c>
      <c r="I122" s="227">
        <v>0</v>
      </c>
      <c r="J122" s="227" t="str">
        <f>INDEX('[5]TS BYDem'!$J$10:$J$203,MATCH(D122,'[5]TS BYDem'!$D$10:$D$203,0))</f>
        <v/>
      </c>
      <c r="K122" s="227" t="e">
        <f t="shared" ca="1" si="36"/>
        <v>#VALUE!</v>
      </c>
      <c r="L122" s="227" t="e">
        <f t="shared" ca="1" si="36"/>
        <v>#VALUE!</v>
      </c>
      <c r="M122" s="227" t="e">
        <f t="shared" ca="1" si="36"/>
        <v>#VALUE!</v>
      </c>
      <c r="N122" s="227" t="e">
        <f t="shared" ca="1" si="36"/>
        <v>#VALUE!</v>
      </c>
      <c r="O122" s="227" t="e">
        <f t="shared" ca="1" si="36"/>
        <v>#VALUE!</v>
      </c>
      <c r="P122" s="227" t="e">
        <f t="shared" ca="1" si="36"/>
        <v>#VALUE!</v>
      </c>
      <c r="Q122" s="227" t="e">
        <f t="shared" ca="1" si="36"/>
        <v>#VALUE!</v>
      </c>
      <c r="R122" s="227" t="e">
        <f t="shared" ca="1" si="36"/>
        <v>#VALUE!</v>
      </c>
      <c r="S122" s="227" t="e">
        <f t="shared" ca="1" si="36"/>
        <v>#VALUE!</v>
      </c>
      <c r="T122" s="227" t="e">
        <f t="shared" ca="1" si="36"/>
        <v>#VALUE!</v>
      </c>
      <c r="U122" s="227" t="e">
        <f t="shared" ca="1" si="36"/>
        <v>#VALUE!</v>
      </c>
      <c r="V122" s="227" t="e">
        <f t="shared" ca="1" si="36"/>
        <v>#VALUE!</v>
      </c>
      <c r="W122" s="227" t="e">
        <f t="shared" ca="1" si="36"/>
        <v>#VALUE!</v>
      </c>
      <c r="X122" s="227" t="e">
        <f t="shared" ca="1" si="36"/>
        <v>#VALUE!</v>
      </c>
      <c r="Y122" s="227" t="e">
        <f t="shared" ca="1" si="36"/>
        <v>#VALUE!</v>
      </c>
      <c r="Z122" s="227" t="e">
        <f t="shared" ca="1" si="36"/>
        <v>#VALUE!</v>
      </c>
      <c r="AA122" s="227" t="e">
        <f t="shared" ca="1" si="37"/>
        <v>#VALUE!</v>
      </c>
      <c r="AB122" s="227" t="e">
        <f t="shared" ca="1" si="37"/>
        <v>#VALUE!</v>
      </c>
      <c r="AC122" s="227" t="e">
        <f t="shared" ca="1" si="37"/>
        <v>#VALUE!</v>
      </c>
      <c r="AD122" s="227" t="e">
        <f t="shared" ca="1" si="37"/>
        <v>#VALUE!</v>
      </c>
      <c r="AE122" s="227" t="e">
        <f t="shared" ca="1" si="37"/>
        <v>#VALUE!</v>
      </c>
      <c r="AF122" s="227" t="e">
        <f t="shared" ca="1" si="37"/>
        <v>#VALUE!</v>
      </c>
      <c r="AG122" s="227" t="e">
        <f t="shared" ca="1" si="37"/>
        <v>#VALUE!</v>
      </c>
      <c r="AH122" s="227" t="e">
        <f t="shared" ca="1" si="37"/>
        <v>#VALUE!</v>
      </c>
      <c r="AI122" s="227" t="e">
        <f t="shared" ca="1" si="37"/>
        <v>#VALUE!</v>
      </c>
      <c r="AJ122" s="227" t="e">
        <f t="shared" ca="1" si="37"/>
        <v>#VALUE!</v>
      </c>
      <c r="AK122" s="227" t="e">
        <f t="shared" ca="1" si="37"/>
        <v>#VALUE!</v>
      </c>
      <c r="AL122" s="227" t="e">
        <f t="shared" ca="1" si="37"/>
        <v>#VALUE!</v>
      </c>
      <c r="AM122" s="227" t="e">
        <f t="shared" ca="1" si="37"/>
        <v>#VALUE!</v>
      </c>
      <c r="AN122" s="227" t="e">
        <f t="shared" ca="1" si="37"/>
        <v>#VALUE!</v>
      </c>
      <c r="AO122" s="227" t="e">
        <f t="shared" ca="1" si="37"/>
        <v>#VALUE!</v>
      </c>
      <c r="AP122" s="227" t="e">
        <f t="shared" ca="1" si="37"/>
        <v>#VALUE!</v>
      </c>
    </row>
    <row r="123" spans="1:42">
      <c r="A123" s="61" t="str">
        <f>'[5]TS BYDem'!A62</f>
        <v>*</v>
      </c>
      <c r="B123" s="227" t="s">
        <v>295</v>
      </c>
      <c r="C123" s="227" t="s">
        <v>138</v>
      </c>
      <c r="D123" s="227" t="str">
        <f>'[5]TS BYDem'!D62</f>
        <v>IISS</v>
      </c>
      <c r="E123" s="227" t="s">
        <v>138</v>
      </c>
      <c r="F123" s="227" t="s">
        <v>138</v>
      </c>
      <c r="G123" s="227" t="s">
        <v>138</v>
      </c>
      <c r="H123" s="227" t="s">
        <v>138</v>
      </c>
      <c r="I123" s="227">
        <v>0</v>
      </c>
      <c r="J123" s="227" t="str">
        <f>INDEX('[5]TS BYDem'!$J$10:$J$203,MATCH(D123,'[5]TS BYDem'!$D$10:$D$203,0))</f>
        <v/>
      </c>
      <c r="K123" s="227" t="e">
        <f t="shared" ca="1" si="36"/>
        <v>#VALUE!</v>
      </c>
      <c r="L123" s="227" t="e">
        <f t="shared" ca="1" si="36"/>
        <v>#VALUE!</v>
      </c>
      <c r="M123" s="227" t="e">
        <f t="shared" ca="1" si="36"/>
        <v>#VALUE!</v>
      </c>
      <c r="N123" s="227" t="e">
        <f t="shared" ca="1" si="36"/>
        <v>#VALUE!</v>
      </c>
      <c r="O123" s="227" t="e">
        <f t="shared" ca="1" si="36"/>
        <v>#VALUE!</v>
      </c>
      <c r="P123" s="227" t="e">
        <f t="shared" ca="1" si="36"/>
        <v>#VALUE!</v>
      </c>
      <c r="Q123" s="227" t="e">
        <f t="shared" ca="1" si="36"/>
        <v>#VALUE!</v>
      </c>
      <c r="R123" s="227" t="e">
        <f t="shared" ca="1" si="36"/>
        <v>#VALUE!</v>
      </c>
      <c r="S123" s="227" t="e">
        <f t="shared" ca="1" si="36"/>
        <v>#VALUE!</v>
      </c>
      <c r="T123" s="227" t="e">
        <f t="shared" ca="1" si="36"/>
        <v>#VALUE!</v>
      </c>
      <c r="U123" s="227" t="e">
        <f t="shared" ca="1" si="36"/>
        <v>#VALUE!</v>
      </c>
      <c r="V123" s="227" t="e">
        <f t="shared" ca="1" si="36"/>
        <v>#VALUE!</v>
      </c>
      <c r="W123" s="227" t="e">
        <f t="shared" ca="1" si="36"/>
        <v>#VALUE!</v>
      </c>
      <c r="X123" s="227" t="e">
        <f t="shared" ca="1" si="36"/>
        <v>#VALUE!</v>
      </c>
      <c r="Y123" s="227" t="e">
        <f t="shared" ca="1" si="36"/>
        <v>#VALUE!</v>
      </c>
      <c r="Z123" s="227" t="e">
        <f t="shared" ca="1" si="36"/>
        <v>#VALUE!</v>
      </c>
      <c r="AA123" s="227" t="e">
        <f t="shared" ca="1" si="37"/>
        <v>#VALUE!</v>
      </c>
      <c r="AB123" s="227" t="e">
        <f t="shared" ca="1" si="37"/>
        <v>#VALUE!</v>
      </c>
      <c r="AC123" s="227" t="e">
        <f t="shared" ca="1" si="37"/>
        <v>#VALUE!</v>
      </c>
      <c r="AD123" s="227" t="e">
        <f t="shared" ca="1" si="37"/>
        <v>#VALUE!</v>
      </c>
      <c r="AE123" s="227" t="e">
        <f t="shared" ca="1" si="37"/>
        <v>#VALUE!</v>
      </c>
      <c r="AF123" s="227" t="e">
        <f t="shared" ca="1" si="37"/>
        <v>#VALUE!</v>
      </c>
      <c r="AG123" s="227" t="e">
        <f t="shared" ca="1" si="37"/>
        <v>#VALUE!</v>
      </c>
      <c r="AH123" s="227" t="e">
        <f t="shared" ca="1" si="37"/>
        <v>#VALUE!</v>
      </c>
      <c r="AI123" s="227" t="e">
        <f t="shared" ca="1" si="37"/>
        <v>#VALUE!</v>
      </c>
      <c r="AJ123" s="227" t="e">
        <f t="shared" ca="1" si="37"/>
        <v>#VALUE!</v>
      </c>
      <c r="AK123" s="227" t="e">
        <f t="shared" ca="1" si="37"/>
        <v>#VALUE!</v>
      </c>
      <c r="AL123" s="227" t="e">
        <f t="shared" ca="1" si="37"/>
        <v>#VALUE!</v>
      </c>
      <c r="AM123" s="227" t="e">
        <f t="shared" ca="1" si="37"/>
        <v>#VALUE!</v>
      </c>
      <c r="AN123" s="227" t="e">
        <f t="shared" ca="1" si="37"/>
        <v>#VALUE!</v>
      </c>
      <c r="AO123" s="227" t="e">
        <f t="shared" ca="1" si="37"/>
        <v>#VALUE!</v>
      </c>
      <c r="AP123" s="227" t="e">
        <f t="shared" ca="1" si="37"/>
        <v>#VALUE!</v>
      </c>
    </row>
    <row r="124" spans="1:42">
      <c r="A124" s="61" t="str">
        <f>'[5]TS BYDem'!A63</f>
        <v>*</v>
      </c>
      <c r="B124" s="227" t="s">
        <v>295</v>
      </c>
      <c r="C124" s="227" t="s">
        <v>138</v>
      </c>
      <c r="D124" s="227" t="str">
        <f>'[5]TS BYDem'!D63</f>
        <v>IISS</v>
      </c>
      <c r="E124" s="227" t="s">
        <v>138</v>
      </c>
      <c r="F124" s="227" t="s">
        <v>138</v>
      </c>
      <c r="G124" s="227" t="s">
        <v>138</v>
      </c>
      <c r="H124" s="227" t="s">
        <v>138</v>
      </c>
      <c r="I124" s="227">
        <v>0</v>
      </c>
      <c r="J124" s="227" t="str">
        <f>INDEX('[5]TS BYDem'!$J$10:$J$203,MATCH(D124,'[5]TS BYDem'!$D$10:$D$203,0))</f>
        <v/>
      </c>
      <c r="K124" s="227" t="e">
        <f t="shared" ca="1" si="36"/>
        <v>#VALUE!</v>
      </c>
      <c r="L124" s="227" t="e">
        <f t="shared" ca="1" si="36"/>
        <v>#VALUE!</v>
      </c>
      <c r="M124" s="227" t="e">
        <f t="shared" ca="1" si="36"/>
        <v>#VALUE!</v>
      </c>
      <c r="N124" s="227" t="e">
        <f t="shared" ca="1" si="36"/>
        <v>#VALUE!</v>
      </c>
      <c r="O124" s="227" t="e">
        <f t="shared" ca="1" si="36"/>
        <v>#VALUE!</v>
      </c>
      <c r="P124" s="227" t="e">
        <f t="shared" ca="1" si="36"/>
        <v>#VALUE!</v>
      </c>
      <c r="Q124" s="227" t="e">
        <f t="shared" ca="1" si="36"/>
        <v>#VALUE!</v>
      </c>
      <c r="R124" s="227" t="e">
        <f t="shared" ca="1" si="36"/>
        <v>#VALUE!</v>
      </c>
      <c r="S124" s="227" t="e">
        <f t="shared" ca="1" si="36"/>
        <v>#VALUE!</v>
      </c>
      <c r="T124" s="227" t="e">
        <f t="shared" ca="1" si="36"/>
        <v>#VALUE!</v>
      </c>
      <c r="U124" s="227" t="e">
        <f t="shared" ca="1" si="36"/>
        <v>#VALUE!</v>
      </c>
      <c r="V124" s="227" t="e">
        <f t="shared" ca="1" si="36"/>
        <v>#VALUE!</v>
      </c>
      <c r="W124" s="227" t="e">
        <f t="shared" ca="1" si="36"/>
        <v>#VALUE!</v>
      </c>
      <c r="X124" s="227" t="e">
        <f t="shared" ca="1" si="36"/>
        <v>#VALUE!</v>
      </c>
      <c r="Y124" s="227" t="e">
        <f t="shared" ca="1" si="36"/>
        <v>#VALUE!</v>
      </c>
      <c r="Z124" s="227" t="e">
        <f t="shared" ca="1" si="36"/>
        <v>#VALUE!</v>
      </c>
      <c r="AA124" s="227" t="e">
        <f t="shared" ca="1" si="37"/>
        <v>#VALUE!</v>
      </c>
      <c r="AB124" s="227" t="e">
        <f t="shared" ca="1" si="37"/>
        <v>#VALUE!</v>
      </c>
      <c r="AC124" s="227" t="e">
        <f t="shared" ca="1" si="37"/>
        <v>#VALUE!</v>
      </c>
      <c r="AD124" s="227" t="e">
        <f t="shared" ca="1" si="37"/>
        <v>#VALUE!</v>
      </c>
      <c r="AE124" s="227" t="e">
        <f t="shared" ca="1" si="37"/>
        <v>#VALUE!</v>
      </c>
      <c r="AF124" s="227" t="e">
        <f t="shared" ca="1" si="37"/>
        <v>#VALUE!</v>
      </c>
      <c r="AG124" s="227" t="e">
        <f t="shared" ca="1" si="37"/>
        <v>#VALUE!</v>
      </c>
      <c r="AH124" s="227" t="e">
        <f t="shared" ca="1" si="37"/>
        <v>#VALUE!</v>
      </c>
      <c r="AI124" s="227" t="e">
        <f t="shared" ca="1" si="37"/>
        <v>#VALUE!</v>
      </c>
      <c r="AJ124" s="227" t="e">
        <f t="shared" ca="1" si="37"/>
        <v>#VALUE!</v>
      </c>
      <c r="AK124" s="227" t="e">
        <f t="shared" ca="1" si="37"/>
        <v>#VALUE!</v>
      </c>
      <c r="AL124" s="227" t="e">
        <f t="shared" ca="1" si="37"/>
        <v>#VALUE!</v>
      </c>
      <c r="AM124" s="227" t="e">
        <f t="shared" ca="1" si="37"/>
        <v>#VALUE!</v>
      </c>
      <c r="AN124" s="227" t="e">
        <f t="shared" ca="1" si="37"/>
        <v>#VALUE!</v>
      </c>
      <c r="AO124" s="227" t="e">
        <f t="shared" ca="1" si="37"/>
        <v>#VALUE!</v>
      </c>
      <c r="AP124" s="227" t="e">
        <f t="shared" ca="1" si="37"/>
        <v>#VALUE!</v>
      </c>
    </row>
    <row r="125" spans="1:42">
      <c r="A125" s="61" t="str">
        <f>'[5]TS BYDem'!A64</f>
        <v>*</v>
      </c>
      <c r="B125" s="227" t="s">
        <v>295</v>
      </c>
      <c r="C125" s="227" t="s">
        <v>138</v>
      </c>
      <c r="D125" s="227" t="str">
        <f>'[5]TS BYDem'!D64</f>
        <v>IISS</v>
      </c>
      <c r="E125" s="227" t="s">
        <v>138</v>
      </c>
      <c r="F125" s="227" t="s">
        <v>138</v>
      </c>
      <c r="G125" s="227" t="s">
        <v>138</v>
      </c>
      <c r="H125" s="227" t="s">
        <v>138</v>
      </c>
      <c r="I125" s="227">
        <v>0</v>
      </c>
      <c r="J125" s="227" t="str">
        <f>INDEX('[5]TS BYDem'!$J$10:$J$203,MATCH(D125,'[5]TS BYDem'!$D$10:$D$203,0))</f>
        <v/>
      </c>
      <c r="K125" s="227" t="e">
        <f t="shared" ca="1" si="36"/>
        <v>#VALUE!</v>
      </c>
      <c r="L125" s="227" t="e">
        <f t="shared" ca="1" si="36"/>
        <v>#VALUE!</v>
      </c>
      <c r="M125" s="227" t="e">
        <f t="shared" ca="1" si="36"/>
        <v>#VALUE!</v>
      </c>
      <c r="N125" s="227" t="e">
        <f t="shared" ca="1" si="36"/>
        <v>#VALUE!</v>
      </c>
      <c r="O125" s="227" t="e">
        <f t="shared" ca="1" si="36"/>
        <v>#VALUE!</v>
      </c>
      <c r="P125" s="227" t="e">
        <f t="shared" ca="1" si="36"/>
        <v>#VALUE!</v>
      </c>
      <c r="Q125" s="227" t="e">
        <f t="shared" ca="1" si="36"/>
        <v>#VALUE!</v>
      </c>
      <c r="R125" s="227" t="e">
        <f t="shared" ca="1" si="36"/>
        <v>#VALUE!</v>
      </c>
      <c r="S125" s="227" t="e">
        <f t="shared" ca="1" si="36"/>
        <v>#VALUE!</v>
      </c>
      <c r="T125" s="227" t="e">
        <f t="shared" ca="1" si="36"/>
        <v>#VALUE!</v>
      </c>
      <c r="U125" s="227" t="e">
        <f t="shared" ca="1" si="36"/>
        <v>#VALUE!</v>
      </c>
      <c r="V125" s="227" t="e">
        <f t="shared" ca="1" si="36"/>
        <v>#VALUE!</v>
      </c>
      <c r="W125" s="227" t="e">
        <f t="shared" ca="1" si="36"/>
        <v>#VALUE!</v>
      </c>
      <c r="X125" s="227" t="e">
        <f t="shared" ca="1" si="36"/>
        <v>#VALUE!</v>
      </c>
      <c r="Y125" s="227" t="e">
        <f t="shared" ca="1" si="36"/>
        <v>#VALUE!</v>
      </c>
      <c r="Z125" s="227" t="e">
        <f t="shared" ca="1" si="36"/>
        <v>#VALUE!</v>
      </c>
      <c r="AA125" s="227" t="e">
        <f t="shared" ca="1" si="37"/>
        <v>#VALUE!</v>
      </c>
      <c r="AB125" s="227" t="e">
        <f t="shared" ca="1" si="37"/>
        <v>#VALUE!</v>
      </c>
      <c r="AC125" s="227" t="e">
        <f t="shared" ca="1" si="37"/>
        <v>#VALUE!</v>
      </c>
      <c r="AD125" s="227" t="e">
        <f t="shared" ca="1" si="37"/>
        <v>#VALUE!</v>
      </c>
      <c r="AE125" s="227" t="e">
        <f t="shared" ca="1" si="37"/>
        <v>#VALUE!</v>
      </c>
      <c r="AF125" s="227" t="e">
        <f t="shared" ca="1" si="37"/>
        <v>#VALUE!</v>
      </c>
      <c r="AG125" s="227" t="e">
        <f t="shared" ca="1" si="37"/>
        <v>#VALUE!</v>
      </c>
      <c r="AH125" s="227" t="e">
        <f t="shared" ca="1" si="37"/>
        <v>#VALUE!</v>
      </c>
      <c r="AI125" s="227" t="e">
        <f t="shared" ca="1" si="37"/>
        <v>#VALUE!</v>
      </c>
      <c r="AJ125" s="227" t="e">
        <f t="shared" ca="1" si="37"/>
        <v>#VALUE!</v>
      </c>
      <c r="AK125" s="227" t="e">
        <f t="shared" ca="1" si="37"/>
        <v>#VALUE!</v>
      </c>
      <c r="AL125" s="227" t="e">
        <f t="shared" ca="1" si="37"/>
        <v>#VALUE!</v>
      </c>
      <c r="AM125" s="227" t="e">
        <f t="shared" ca="1" si="37"/>
        <v>#VALUE!</v>
      </c>
      <c r="AN125" s="227" t="e">
        <f t="shared" ca="1" si="37"/>
        <v>#VALUE!</v>
      </c>
      <c r="AO125" s="227" t="e">
        <f t="shared" ca="1" si="37"/>
        <v>#VALUE!</v>
      </c>
      <c r="AP125" s="227" t="e">
        <f t="shared" ca="1" si="37"/>
        <v>#VALUE!</v>
      </c>
    </row>
    <row r="126" spans="1:42">
      <c r="A126" s="61" t="str">
        <f>'[5]TS BYDem'!A65</f>
        <v>*</v>
      </c>
      <c r="B126" s="227" t="s">
        <v>295</v>
      </c>
      <c r="C126" s="227" t="s">
        <v>138</v>
      </c>
      <c r="D126" s="227" t="str">
        <f>'[5]TS BYDem'!D65</f>
        <v>IISS</v>
      </c>
      <c r="E126" s="227" t="s">
        <v>138</v>
      </c>
      <c r="F126" s="227" t="s">
        <v>138</v>
      </c>
      <c r="G126" s="227" t="s">
        <v>138</v>
      </c>
      <c r="H126" s="227" t="s">
        <v>138</v>
      </c>
      <c r="I126" s="227">
        <v>0</v>
      </c>
      <c r="J126" s="227" t="str">
        <f>INDEX('[5]TS BYDem'!$J$10:$J$203,MATCH(D126,'[5]TS BYDem'!$D$10:$D$203,0))</f>
        <v/>
      </c>
      <c r="K126" s="227" t="e">
        <f t="shared" ca="1" si="36"/>
        <v>#VALUE!</v>
      </c>
      <c r="L126" s="227" t="e">
        <f t="shared" ca="1" si="36"/>
        <v>#VALUE!</v>
      </c>
      <c r="M126" s="227" t="e">
        <f t="shared" ca="1" si="36"/>
        <v>#VALUE!</v>
      </c>
      <c r="N126" s="227" t="e">
        <f t="shared" ca="1" si="36"/>
        <v>#VALUE!</v>
      </c>
      <c r="O126" s="227" t="e">
        <f t="shared" ca="1" si="36"/>
        <v>#VALUE!</v>
      </c>
      <c r="P126" s="227" t="e">
        <f t="shared" ca="1" si="36"/>
        <v>#VALUE!</v>
      </c>
      <c r="Q126" s="227" t="e">
        <f t="shared" ca="1" si="36"/>
        <v>#VALUE!</v>
      </c>
      <c r="R126" s="227" t="e">
        <f t="shared" ca="1" si="36"/>
        <v>#VALUE!</v>
      </c>
      <c r="S126" s="227" t="e">
        <f t="shared" ca="1" si="36"/>
        <v>#VALUE!</v>
      </c>
      <c r="T126" s="227" t="e">
        <f t="shared" ca="1" si="36"/>
        <v>#VALUE!</v>
      </c>
      <c r="U126" s="227" t="e">
        <f t="shared" ca="1" si="36"/>
        <v>#VALUE!</v>
      </c>
      <c r="V126" s="227" t="e">
        <f t="shared" ca="1" si="36"/>
        <v>#VALUE!</v>
      </c>
      <c r="W126" s="227" t="e">
        <f t="shared" ca="1" si="36"/>
        <v>#VALUE!</v>
      </c>
      <c r="X126" s="227" t="e">
        <f t="shared" ca="1" si="36"/>
        <v>#VALUE!</v>
      </c>
      <c r="Y126" s="227" t="e">
        <f t="shared" ca="1" si="36"/>
        <v>#VALUE!</v>
      </c>
      <c r="Z126" s="227" t="e">
        <f t="shared" ca="1" si="36"/>
        <v>#VALUE!</v>
      </c>
      <c r="AA126" s="227" t="e">
        <f t="shared" ca="1" si="37"/>
        <v>#VALUE!</v>
      </c>
      <c r="AB126" s="227" t="e">
        <f t="shared" ca="1" si="37"/>
        <v>#VALUE!</v>
      </c>
      <c r="AC126" s="227" t="e">
        <f t="shared" ca="1" si="37"/>
        <v>#VALUE!</v>
      </c>
      <c r="AD126" s="227" t="e">
        <f t="shared" ca="1" si="37"/>
        <v>#VALUE!</v>
      </c>
      <c r="AE126" s="227" t="e">
        <f t="shared" ca="1" si="37"/>
        <v>#VALUE!</v>
      </c>
      <c r="AF126" s="227" t="e">
        <f t="shared" ca="1" si="37"/>
        <v>#VALUE!</v>
      </c>
      <c r="AG126" s="227" t="e">
        <f t="shared" ca="1" si="37"/>
        <v>#VALUE!</v>
      </c>
      <c r="AH126" s="227" t="e">
        <f t="shared" ca="1" si="37"/>
        <v>#VALUE!</v>
      </c>
      <c r="AI126" s="227" t="e">
        <f t="shared" ca="1" si="37"/>
        <v>#VALUE!</v>
      </c>
      <c r="AJ126" s="227" t="e">
        <f t="shared" ca="1" si="37"/>
        <v>#VALUE!</v>
      </c>
      <c r="AK126" s="227" t="e">
        <f t="shared" ca="1" si="37"/>
        <v>#VALUE!</v>
      </c>
      <c r="AL126" s="227" t="e">
        <f t="shared" ca="1" si="37"/>
        <v>#VALUE!</v>
      </c>
      <c r="AM126" s="227" t="e">
        <f t="shared" ca="1" si="37"/>
        <v>#VALUE!</v>
      </c>
      <c r="AN126" s="227" t="e">
        <f t="shared" ca="1" si="37"/>
        <v>#VALUE!</v>
      </c>
      <c r="AO126" s="227" t="e">
        <f t="shared" ca="1" si="37"/>
        <v>#VALUE!</v>
      </c>
      <c r="AP126" s="227" t="e">
        <f t="shared" ca="1" si="37"/>
        <v>#VALUE!</v>
      </c>
    </row>
    <row r="127" spans="1:42">
      <c r="A127" s="61" t="str">
        <f>'[5]TS BYDem'!A66</f>
        <v>*</v>
      </c>
      <c r="B127" s="227" t="s">
        <v>295</v>
      </c>
      <c r="C127" s="227" t="s">
        <v>138</v>
      </c>
      <c r="D127" s="227" t="str">
        <f>'[5]TS BYDem'!D66</f>
        <v>IISS</v>
      </c>
      <c r="E127" s="227" t="s">
        <v>138</v>
      </c>
      <c r="F127" s="227" t="s">
        <v>138</v>
      </c>
      <c r="G127" s="227" t="s">
        <v>138</v>
      </c>
      <c r="H127" s="227" t="s">
        <v>138</v>
      </c>
      <c r="I127" s="227">
        <v>0</v>
      </c>
      <c r="J127" s="227" t="str">
        <f>INDEX('[5]TS BYDem'!$J$10:$J$203,MATCH(D127,'[5]TS BYDem'!$D$10:$D$203,0))</f>
        <v/>
      </c>
      <c r="K127" s="227" t="e">
        <f t="shared" ca="1" si="36"/>
        <v>#VALUE!</v>
      </c>
      <c r="L127" s="227" t="e">
        <f t="shared" ca="1" si="36"/>
        <v>#VALUE!</v>
      </c>
      <c r="M127" s="227" t="e">
        <f t="shared" ca="1" si="36"/>
        <v>#VALUE!</v>
      </c>
      <c r="N127" s="227" t="e">
        <f t="shared" ca="1" si="36"/>
        <v>#VALUE!</v>
      </c>
      <c r="O127" s="227" t="e">
        <f t="shared" ca="1" si="36"/>
        <v>#VALUE!</v>
      </c>
      <c r="P127" s="227" t="e">
        <f t="shared" ca="1" si="36"/>
        <v>#VALUE!</v>
      </c>
      <c r="Q127" s="227" t="e">
        <f t="shared" ca="1" si="36"/>
        <v>#VALUE!</v>
      </c>
      <c r="R127" s="227" t="e">
        <f t="shared" ca="1" si="36"/>
        <v>#VALUE!</v>
      </c>
      <c r="S127" s="227" t="e">
        <f t="shared" ca="1" si="36"/>
        <v>#VALUE!</v>
      </c>
      <c r="T127" s="227" t="e">
        <f t="shared" ca="1" si="36"/>
        <v>#VALUE!</v>
      </c>
      <c r="U127" s="227" t="e">
        <f t="shared" ca="1" si="36"/>
        <v>#VALUE!</v>
      </c>
      <c r="V127" s="227" t="e">
        <f t="shared" ca="1" si="36"/>
        <v>#VALUE!</v>
      </c>
      <c r="W127" s="227" t="e">
        <f t="shared" ca="1" si="36"/>
        <v>#VALUE!</v>
      </c>
      <c r="X127" s="227" t="e">
        <f t="shared" ca="1" si="36"/>
        <v>#VALUE!</v>
      </c>
      <c r="Y127" s="227" t="e">
        <f t="shared" ca="1" si="36"/>
        <v>#VALUE!</v>
      </c>
      <c r="Z127" s="227" t="e">
        <f t="shared" ca="1" si="36"/>
        <v>#VALUE!</v>
      </c>
      <c r="AA127" s="227" t="e">
        <f t="shared" ca="1" si="37"/>
        <v>#VALUE!</v>
      </c>
      <c r="AB127" s="227" t="e">
        <f t="shared" ca="1" si="37"/>
        <v>#VALUE!</v>
      </c>
      <c r="AC127" s="227" t="e">
        <f t="shared" ca="1" si="37"/>
        <v>#VALUE!</v>
      </c>
      <c r="AD127" s="227" t="e">
        <f t="shared" ca="1" si="37"/>
        <v>#VALUE!</v>
      </c>
      <c r="AE127" s="227" t="e">
        <f t="shared" ca="1" si="37"/>
        <v>#VALUE!</v>
      </c>
      <c r="AF127" s="227" t="e">
        <f t="shared" ca="1" si="37"/>
        <v>#VALUE!</v>
      </c>
      <c r="AG127" s="227" t="e">
        <f t="shared" ca="1" si="37"/>
        <v>#VALUE!</v>
      </c>
      <c r="AH127" s="227" t="e">
        <f t="shared" ca="1" si="37"/>
        <v>#VALUE!</v>
      </c>
      <c r="AI127" s="227" t="e">
        <f t="shared" ca="1" si="37"/>
        <v>#VALUE!</v>
      </c>
      <c r="AJ127" s="227" t="e">
        <f t="shared" ca="1" si="37"/>
        <v>#VALUE!</v>
      </c>
      <c r="AK127" s="227" t="e">
        <f t="shared" ca="1" si="37"/>
        <v>#VALUE!</v>
      </c>
      <c r="AL127" s="227" t="e">
        <f t="shared" ca="1" si="37"/>
        <v>#VALUE!</v>
      </c>
      <c r="AM127" s="227" t="e">
        <f t="shared" ca="1" si="37"/>
        <v>#VALUE!</v>
      </c>
      <c r="AN127" s="227" t="e">
        <f t="shared" ca="1" si="37"/>
        <v>#VALUE!</v>
      </c>
      <c r="AO127" s="227" t="e">
        <f t="shared" ca="1" si="37"/>
        <v>#VALUE!</v>
      </c>
      <c r="AP127" s="227" t="e">
        <f t="shared" ca="1" si="37"/>
        <v>#VALUE!</v>
      </c>
    </row>
    <row r="128" spans="1:42">
      <c r="A128" s="61" t="str">
        <f>'[5]TS BYDem'!A67</f>
        <v>*</v>
      </c>
      <c r="B128" s="227" t="s">
        <v>295</v>
      </c>
      <c r="C128" s="227" t="s">
        <v>138</v>
      </c>
      <c r="D128" s="227" t="str">
        <f>'[5]TS BYDem'!D67</f>
        <v>IISS</v>
      </c>
      <c r="E128" s="227" t="s">
        <v>138</v>
      </c>
      <c r="F128" s="227" t="s">
        <v>138</v>
      </c>
      <c r="G128" s="227" t="s">
        <v>138</v>
      </c>
      <c r="H128" s="227" t="s">
        <v>138</v>
      </c>
      <c r="I128" s="227">
        <v>0</v>
      </c>
      <c r="J128" s="227" t="str">
        <f>INDEX('[5]TS BYDem'!$J$10:$J$203,MATCH(D128,'[5]TS BYDem'!$D$10:$D$203,0))</f>
        <v/>
      </c>
      <c r="K128" s="227" t="e">
        <f t="shared" ca="1" si="36"/>
        <v>#VALUE!</v>
      </c>
      <c r="L128" s="227" t="e">
        <f t="shared" ca="1" si="36"/>
        <v>#VALUE!</v>
      </c>
      <c r="M128" s="227" t="e">
        <f t="shared" ca="1" si="36"/>
        <v>#VALUE!</v>
      </c>
      <c r="N128" s="227" t="e">
        <f t="shared" ca="1" si="36"/>
        <v>#VALUE!</v>
      </c>
      <c r="O128" s="227" t="e">
        <f t="shared" ca="1" si="36"/>
        <v>#VALUE!</v>
      </c>
      <c r="P128" s="227" t="e">
        <f t="shared" ca="1" si="36"/>
        <v>#VALUE!</v>
      </c>
      <c r="Q128" s="227" t="e">
        <f t="shared" ca="1" si="36"/>
        <v>#VALUE!</v>
      </c>
      <c r="R128" s="227" t="e">
        <f t="shared" ca="1" si="36"/>
        <v>#VALUE!</v>
      </c>
      <c r="S128" s="227" t="e">
        <f t="shared" ca="1" si="36"/>
        <v>#VALUE!</v>
      </c>
      <c r="T128" s="227" t="e">
        <f t="shared" ca="1" si="36"/>
        <v>#VALUE!</v>
      </c>
      <c r="U128" s="227" t="e">
        <f t="shared" ca="1" si="36"/>
        <v>#VALUE!</v>
      </c>
      <c r="V128" s="227" t="e">
        <f t="shared" ca="1" si="36"/>
        <v>#VALUE!</v>
      </c>
      <c r="W128" s="227" t="e">
        <f t="shared" ca="1" si="36"/>
        <v>#VALUE!</v>
      </c>
      <c r="X128" s="227" t="e">
        <f t="shared" ca="1" si="36"/>
        <v>#VALUE!</v>
      </c>
      <c r="Y128" s="227" t="e">
        <f t="shared" ca="1" si="36"/>
        <v>#VALUE!</v>
      </c>
      <c r="Z128" s="227" t="e">
        <f t="shared" ref="Z128:AO132" ca="1" si="38">Z$112/Y$112*Y128</f>
        <v>#VALUE!</v>
      </c>
      <c r="AA128" s="227" t="e">
        <f t="shared" ca="1" si="37"/>
        <v>#VALUE!</v>
      </c>
      <c r="AB128" s="227" t="e">
        <f t="shared" ca="1" si="37"/>
        <v>#VALUE!</v>
      </c>
      <c r="AC128" s="227" t="e">
        <f t="shared" ca="1" si="37"/>
        <v>#VALUE!</v>
      </c>
      <c r="AD128" s="227" t="e">
        <f t="shared" ca="1" si="37"/>
        <v>#VALUE!</v>
      </c>
      <c r="AE128" s="227" t="e">
        <f t="shared" ca="1" si="37"/>
        <v>#VALUE!</v>
      </c>
      <c r="AF128" s="227" t="e">
        <f t="shared" ca="1" si="37"/>
        <v>#VALUE!</v>
      </c>
      <c r="AG128" s="227" t="e">
        <f t="shared" ca="1" si="37"/>
        <v>#VALUE!</v>
      </c>
      <c r="AH128" s="227" t="e">
        <f t="shared" ca="1" si="37"/>
        <v>#VALUE!</v>
      </c>
      <c r="AI128" s="227" t="e">
        <f t="shared" ca="1" si="37"/>
        <v>#VALUE!</v>
      </c>
      <c r="AJ128" s="227" t="e">
        <f t="shared" ca="1" si="37"/>
        <v>#VALUE!</v>
      </c>
      <c r="AK128" s="227" t="e">
        <f t="shared" ca="1" si="37"/>
        <v>#VALUE!</v>
      </c>
      <c r="AL128" s="227" t="e">
        <f t="shared" ca="1" si="37"/>
        <v>#VALUE!</v>
      </c>
      <c r="AM128" s="227" t="e">
        <f t="shared" ca="1" si="37"/>
        <v>#VALUE!</v>
      </c>
      <c r="AN128" s="227" t="e">
        <f t="shared" ca="1" si="37"/>
        <v>#VALUE!</v>
      </c>
      <c r="AO128" s="227" t="e">
        <f t="shared" ca="1" si="37"/>
        <v>#VALUE!</v>
      </c>
      <c r="AP128" s="227" t="e">
        <f t="shared" ref="AP128:AP132" ca="1" si="39">AP$112/AO$112*AO128</f>
        <v>#VALUE!</v>
      </c>
    </row>
    <row r="129" spans="1:42">
      <c r="A129" s="61" t="str">
        <f>'[5]TS BYDem'!A68</f>
        <v>*</v>
      </c>
      <c r="B129" s="227" t="s">
        <v>295</v>
      </c>
      <c r="C129" s="227" t="s">
        <v>138</v>
      </c>
      <c r="D129" s="227">
        <f>'[5]TS BYDem'!D68</f>
        <v>0</v>
      </c>
      <c r="E129" s="227" t="s">
        <v>138</v>
      </c>
      <c r="F129" s="227" t="s">
        <v>138</v>
      </c>
      <c r="G129" s="227" t="s">
        <v>138</v>
      </c>
      <c r="H129" s="227" t="s">
        <v>138</v>
      </c>
      <c r="I129" s="227">
        <v>0</v>
      </c>
      <c r="J129" s="227" t="str">
        <f>INDEX('[5]TS BYDem'!$J$10:$J$203,MATCH(D129,'[5]TS BYDem'!$D$10:$D$203,0))</f>
        <v/>
      </c>
      <c r="K129" s="227" t="e">
        <f t="shared" ref="K129:Z132" ca="1" si="40">K$112/J$112*J129</f>
        <v>#VALUE!</v>
      </c>
      <c r="L129" s="227" t="e">
        <f t="shared" ca="1" si="40"/>
        <v>#VALUE!</v>
      </c>
      <c r="M129" s="227" t="e">
        <f t="shared" ca="1" si="40"/>
        <v>#VALUE!</v>
      </c>
      <c r="N129" s="227" t="e">
        <f t="shared" ca="1" si="40"/>
        <v>#VALUE!</v>
      </c>
      <c r="O129" s="227" t="e">
        <f t="shared" ca="1" si="40"/>
        <v>#VALUE!</v>
      </c>
      <c r="P129" s="227" t="e">
        <f t="shared" ca="1" si="40"/>
        <v>#VALUE!</v>
      </c>
      <c r="Q129" s="227" t="e">
        <f t="shared" ca="1" si="40"/>
        <v>#VALUE!</v>
      </c>
      <c r="R129" s="227" t="e">
        <f t="shared" ca="1" si="40"/>
        <v>#VALUE!</v>
      </c>
      <c r="S129" s="227" t="e">
        <f t="shared" ca="1" si="40"/>
        <v>#VALUE!</v>
      </c>
      <c r="T129" s="227" t="e">
        <f t="shared" ca="1" si="40"/>
        <v>#VALUE!</v>
      </c>
      <c r="U129" s="227" t="e">
        <f t="shared" ca="1" si="40"/>
        <v>#VALUE!</v>
      </c>
      <c r="V129" s="227" t="e">
        <f t="shared" ca="1" si="40"/>
        <v>#VALUE!</v>
      </c>
      <c r="W129" s="227" t="e">
        <f t="shared" ca="1" si="40"/>
        <v>#VALUE!</v>
      </c>
      <c r="X129" s="227" t="e">
        <f t="shared" ca="1" si="40"/>
        <v>#VALUE!</v>
      </c>
      <c r="Y129" s="227" t="e">
        <f t="shared" ca="1" si="40"/>
        <v>#VALUE!</v>
      </c>
      <c r="Z129" s="227" t="e">
        <f t="shared" ca="1" si="38"/>
        <v>#VALUE!</v>
      </c>
      <c r="AA129" s="227" t="e">
        <f t="shared" ca="1" si="38"/>
        <v>#VALUE!</v>
      </c>
      <c r="AB129" s="227" t="e">
        <f t="shared" ca="1" si="38"/>
        <v>#VALUE!</v>
      </c>
      <c r="AC129" s="227" t="e">
        <f t="shared" ca="1" si="38"/>
        <v>#VALUE!</v>
      </c>
      <c r="AD129" s="227" t="e">
        <f t="shared" ca="1" si="38"/>
        <v>#VALUE!</v>
      </c>
      <c r="AE129" s="227" t="e">
        <f t="shared" ca="1" si="38"/>
        <v>#VALUE!</v>
      </c>
      <c r="AF129" s="227" t="e">
        <f t="shared" ca="1" si="38"/>
        <v>#VALUE!</v>
      </c>
      <c r="AG129" s="227" t="e">
        <f t="shared" ca="1" si="38"/>
        <v>#VALUE!</v>
      </c>
      <c r="AH129" s="227" t="e">
        <f t="shared" ca="1" si="38"/>
        <v>#VALUE!</v>
      </c>
      <c r="AI129" s="227" t="e">
        <f t="shared" ca="1" si="38"/>
        <v>#VALUE!</v>
      </c>
      <c r="AJ129" s="227" t="e">
        <f t="shared" ca="1" si="38"/>
        <v>#VALUE!</v>
      </c>
      <c r="AK129" s="227" t="e">
        <f t="shared" ca="1" si="38"/>
        <v>#VALUE!</v>
      </c>
      <c r="AL129" s="227" t="e">
        <f t="shared" ca="1" si="38"/>
        <v>#VALUE!</v>
      </c>
      <c r="AM129" s="227" t="e">
        <f t="shared" ca="1" si="38"/>
        <v>#VALUE!</v>
      </c>
      <c r="AN129" s="227" t="e">
        <f t="shared" ca="1" si="38"/>
        <v>#VALUE!</v>
      </c>
      <c r="AO129" s="227" t="e">
        <f t="shared" ca="1" si="38"/>
        <v>#VALUE!</v>
      </c>
      <c r="AP129" s="227" t="e">
        <f t="shared" ca="1" si="39"/>
        <v>#VALUE!</v>
      </c>
    </row>
    <row r="130" spans="1:42">
      <c r="A130" s="61" t="str">
        <f>'[5]TS BYDem'!A69</f>
        <v>*</v>
      </c>
      <c r="B130" s="227" t="s">
        <v>295</v>
      </c>
      <c r="C130" s="227" t="s">
        <v>138</v>
      </c>
      <c r="D130" s="227" t="str">
        <f>'[5]TS BYDem'!D69</f>
        <v>IIST</v>
      </c>
      <c r="E130" s="227" t="s">
        <v>138</v>
      </c>
      <c r="F130" s="227" t="s">
        <v>138</v>
      </c>
      <c r="G130" s="227" t="s">
        <v>138</v>
      </c>
      <c r="H130" s="227" t="s">
        <v>138</v>
      </c>
      <c r="I130" s="227">
        <v>0</v>
      </c>
      <c r="J130" s="227" t="str">
        <f>INDEX('[5]TS BYDem'!$J$10:$J$203,MATCH(D130,'[5]TS BYDem'!$D$10:$D$203,0))</f>
        <v/>
      </c>
      <c r="K130" s="227" t="e">
        <f t="shared" ca="1" si="40"/>
        <v>#VALUE!</v>
      </c>
      <c r="L130" s="227" t="e">
        <f t="shared" ca="1" si="40"/>
        <v>#VALUE!</v>
      </c>
      <c r="M130" s="227" t="e">
        <f t="shared" ca="1" si="40"/>
        <v>#VALUE!</v>
      </c>
      <c r="N130" s="227" t="e">
        <f t="shared" ca="1" si="40"/>
        <v>#VALUE!</v>
      </c>
      <c r="O130" s="227" t="e">
        <f t="shared" ca="1" si="40"/>
        <v>#VALUE!</v>
      </c>
      <c r="P130" s="227" t="e">
        <f t="shared" ca="1" si="40"/>
        <v>#VALUE!</v>
      </c>
      <c r="Q130" s="227" t="e">
        <f t="shared" ca="1" si="40"/>
        <v>#VALUE!</v>
      </c>
      <c r="R130" s="227" t="e">
        <f t="shared" ca="1" si="40"/>
        <v>#VALUE!</v>
      </c>
      <c r="S130" s="227" t="e">
        <f t="shared" ca="1" si="40"/>
        <v>#VALUE!</v>
      </c>
      <c r="T130" s="227" t="e">
        <f t="shared" ca="1" si="40"/>
        <v>#VALUE!</v>
      </c>
      <c r="U130" s="227" t="e">
        <f t="shared" ca="1" si="40"/>
        <v>#VALUE!</v>
      </c>
      <c r="V130" s="227" t="e">
        <f t="shared" ca="1" si="40"/>
        <v>#VALUE!</v>
      </c>
      <c r="W130" s="227" t="e">
        <f t="shared" ca="1" si="40"/>
        <v>#VALUE!</v>
      </c>
      <c r="X130" s="227" t="e">
        <f t="shared" ca="1" si="40"/>
        <v>#VALUE!</v>
      </c>
      <c r="Y130" s="227" t="e">
        <f t="shared" ca="1" si="40"/>
        <v>#VALUE!</v>
      </c>
      <c r="Z130" s="227" t="e">
        <f t="shared" ca="1" si="38"/>
        <v>#VALUE!</v>
      </c>
      <c r="AA130" s="227" t="e">
        <f t="shared" ca="1" si="38"/>
        <v>#VALUE!</v>
      </c>
      <c r="AB130" s="227" t="e">
        <f t="shared" ca="1" si="38"/>
        <v>#VALUE!</v>
      </c>
      <c r="AC130" s="227" t="e">
        <f t="shared" ca="1" si="38"/>
        <v>#VALUE!</v>
      </c>
      <c r="AD130" s="227" t="e">
        <f t="shared" ca="1" si="38"/>
        <v>#VALUE!</v>
      </c>
      <c r="AE130" s="227" t="e">
        <f t="shared" ca="1" si="38"/>
        <v>#VALUE!</v>
      </c>
      <c r="AF130" s="227" t="e">
        <f t="shared" ca="1" si="38"/>
        <v>#VALUE!</v>
      </c>
      <c r="AG130" s="227" t="e">
        <f t="shared" ca="1" si="38"/>
        <v>#VALUE!</v>
      </c>
      <c r="AH130" s="227" t="e">
        <f t="shared" ca="1" si="38"/>
        <v>#VALUE!</v>
      </c>
      <c r="AI130" s="227" t="e">
        <f t="shared" ca="1" si="38"/>
        <v>#VALUE!</v>
      </c>
      <c r="AJ130" s="227" t="e">
        <f t="shared" ca="1" si="38"/>
        <v>#VALUE!</v>
      </c>
      <c r="AK130" s="227" t="e">
        <f t="shared" ca="1" si="38"/>
        <v>#VALUE!</v>
      </c>
      <c r="AL130" s="227" t="e">
        <f t="shared" ca="1" si="38"/>
        <v>#VALUE!</v>
      </c>
      <c r="AM130" s="227" t="e">
        <f t="shared" ca="1" si="38"/>
        <v>#VALUE!</v>
      </c>
      <c r="AN130" s="227" t="e">
        <f t="shared" ca="1" si="38"/>
        <v>#VALUE!</v>
      </c>
      <c r="AO130" s="227" t="e">
        <f t="shared" ca="1" si="38"/>
        <v>#VALUE!</v>
      </c>
      <c r="AP130" s="227" t="e">
        <f t="shared" ca="1" si="39"/>
        <v>#VALUE!</v>
      </c>
    </row>
    <row r="131" spans="1:42">
      <c r="A131" s="61" t="str">
        <f>'[5]TS BYDem'!A70</f>
        <v>*</v>
      </c>
      <c r="B131" s="227" t="s">
        <v>295</v>
      </c>
      <c r="C131" s="227" t="s">
        <v>138</v>
      </c>
      <c r="D131" s="227" t="str">
        <f>'[5]TS BYDem'!D70</f>
        <v>Useful Energy Service</v>
      </c>
      <c r="E131" s="227" t="s">
        <v>138</v>
      </c>
      <c r="F131" s="227" t="s">
        <v>138</v>
      </c>
      <c r="G131" s="227" t="s">
        <v>138</v>
      </c>
      <c r="H131" s="227" t="s">
        <v>138</v>
      </c>
      <c r="I131" s="227">
        <v>0</v>
      </c>
      <c r="J131" s="227" t="str">
        <f>INDEX('[5]TS BYDem'!$J$10:$J$203,MATCH(D131,'[5]TS BYDem'!$D$10:$D$203,0))</f>
        <v/>
      </c>
      <c r="K131" s="227" t="e">
        <f t="shared" ca="1" si="40"/>
        <v>#VALUE!</v>
      </c>
      <c r="L131" s="227" t="e">
        <f t="shared" ca="1" si="40"/>
        <v>#VALUE!</v>
      </c>
      <c r="M131" s="227" t="e">
        <f t="shared" ca="1" si="40"/>
        <v>#VALUE!</v>
      </c>
      <c r="N131" s="227" t="e">
        <f t="shared" ca="1" si="40"/>
        <v>#VALUE!</v>
      </c>
      <c r="O131" s="227" t="e">
        <f t="shared" ca="1" si="40"/>
        <v>#VALUE!</v>
      </c>
      <c r="P131" s="227" t="e">
        <f t="shared" ca="1" si="40"/>
        <v>#VALUE!</v>
      </c>
      <c r="Q131" s="227" t="e">
        <f t="shared" ca="1" si="40"/>
        <v>#VALUE!</v>
      </c>
      <c r="R131" s="227" t="e">
        <f t="shared" ca="1" si="40"/>
        <v>#VALUE!</v>
      </c>
      <c r="S131" s="227" t="e">
        <f t="shared" ca="1" si="40"/>
        <v>#VALUE!</v>
      </c>
      <c r="T131" s="227" t="e">
        <f t="shared" ca="1" si="40"/>
        <v>#VALUE!</v>
      </c>
      <c r="U131" s="227" t="e">
        <f t="shared" ca="1" si="40"/>
        <v>#VALUE!</v>
      </c>
      <c r="V131" s="227" t="e">
        <f t="shared" ca="1" si="40"/>
        <v>#VALUE!</v>
      </c>
      <c r="W131" s="227" t="e">
        <f t="shared" ca="1" si="40"/>
        <v>#VALUE!</v>
      </c>
      <c r="X131" s="227" t="e">
        <f t="shared" ca="1" si="40"/>
        <v>#VALUE!</v>
      </c>
      <c r="Y131" s="227" t="e">
        <f t="shared" ca="1" si="40"/>
        <v>#VALUE!</v>
      </c>
      <c r="Z131" s="227" t="e">
        <f t="shared" ca="1" si="38"/>
        <v>#VALUE!</v>
      </c>
      <c r="AA131" s="227" t="e">
        <f t="shared" ca="1" si="38"/>
        <v>#VALUE!</v>
      </c>
      <c r="AB131" s="227" t="e">
        <f t="shared" ca="1" si="38"/>
        <v>#VALUE!</v>
      </c>
      <c r="AC131" s="227" t="e">
        <f t="shared" ca="1" si="38"/>
        <v>#VALUE!</v>
      </c>
      <c r="AD131" s="227" t="e">
        <f t="shared" ca="1" si="38"/>
        <v>#VALUE!</v>
      </c>
      <c r="AE131" s="227" t="e">
        <f t="shared" ca="1" si="38"/>
        <v>#VALUE!</v>
      </c>
      <c r="AF131" s="227" t="e">
        <f t="shared" ca="1" si="38"/>
        <v>#VALUE!</v>
      </c>
      <c r="AG131" s="227" t="e">
        <f t="shared" ca="1" si="38"/>
        <v>#VALUE!</v>
      </c>
      <c r="AH131" s="227" t="e">
        <f t="shared" ca="1" si="38"/>
        <v>#VALUE!</v>
      </c>
      <c r="AI131" s="227" t="e">
        <f t="shared" ca="1" si="38"/>
        <v>#VALUE!</v>
      </c>
      <c r="AJ131" s="227" t="e">
        <f t="shared" ca="1" si="38"/>
        <v>#VALUE!</v>
      </c>
      <c r="AK131" s="227" t="e">
        <f t="shared" ca="1" si="38"/>
        <v>#VALUE!</v>
      </c>
      <c r="AL131" s="227" t="e">
        <f t="shared" ca="1" si="38"/>
        <v>#VALUE!</v>
      </c>
      <c r="AM131" s="227" t="e">
        <f t="shared" ca="1" si="38"/>
        <v>#VALUE!</v>
      </c>
      <c r="AN131" s="227" t="e">
        <f t="shared" ca="1" si="38"/>
        <v>#VALUE!</v>
      </c>
      <c r="AO131" s="227" t="e">
        <f t="shared" ca="1" si="38"/>
        <v>#VALUE!</v>
      </c>
      <c r="AP131" s="227" t="e">
        <f t="shared" ca="1" si="39"/>
        <v>#VALUE!</v>
      </c>
    </row>
    <row r="132" spans="1:42">
      <c r="A132" s="61" t="str">
        <f>'[5]TS BYDem'!A71</f>
        <v>*</v>
      </c>
      <c r="B132" s="227" t="s">
        <v>295</v>
      </c>
      <c r="C132" s="227" t="s">
        <v>138</v>
      </c>
      <c r="D132" s="227">
        <f>'[5]TS BYDem'!D71</f>
        <v>0</v>
      </c>
      <c r="E132" s="227" t="s">
        <v>138</v>
      </c>
      <c r="F132" s="227" t="s">
        <v>138</v>
      </c>
      <c r="G132" s="227" t="s">
        <v>138</v>
      </c>
      <c r="H132" s="227" t="s">
        <v>138</v>
      </c>
      <c r="I132" s="227">
        <v>0</v>
      </c>
      <c r="J132" s="227" t="str">
        <f>INDEX('[5]TS BYDem'!$J$10:$J$203,MATCH(D132,'[5]TS BYDem'!$D$10:$D$203,0))</f>
        <v/>
      </c>
      <c r="K132" s="227" t="e">
        <f t="shared" ca="1" si="40"/>
        <v>#VALUE!</v>
      </c>
      <c r="L132" s="227" t="e">
        <f t="shared" ca="1" si="40"/>
        <v>#VALUE!</v>
      </c>
      <c r="M132" s="227" t="e">
        <f t="shared" ca="1" si="40"/>
        <v>#VALUE!</v>
      </c>
      <c r="N132" s="227" t="e">
        <f t="shared" ca="1" si="40"/>
        <v>#VALUE!</v>
      </c>
      <c r="O132" s="227" t="e">
        <f t="shared" ca="1" si="40"/>
        <v>#VALUE!</v>
      </c>
      <c r="P132" s="227" t="e">
        <f t="shared" ca="1" si="40"/>
        <v>#VALUE!</v>
      </c>
      <c r="Q132" s="227" t="e">
        <f t="shared" ca="1" si="40"/>
        <v>#VALUE!</v>
      </c>
      <c r="R132" s="227" t="e">
        <f t="shared" ca="1" si="40"/>
        <v>#VALUE!</v>
      </c>
      <c r="S132" s="227" t="e">
        <f t="shared" ca="1" si="40"/>
        <v>#VALUE!</v>
      </c>
      <c r="T132" s="227" t="e">
        <f t="shared" ca="1" si="40"/>
        <v>#VALUE!</v>
      </c>
      <c r="U132" s="227" t="e">
        <f t="shared" ca="1" si="40"/>
        <v>#VALUE!</v>
      </c>
      <c r="V132" s="227" t="e">
        <f t="shared" ca="1" si="40"/>
        <v>#VALUE!</v>
      </c>
      <c r="W132" s="227" t="e">
        <f t="shared" ca="1" si="40"/>
        <v>#VALUE!</v>
      </c>
      <c r="X132" s="227" t="e">
        <f t="shared" ca="1" si="40"/>
        <v>#VALUE!</v>
      </c>
      <c r="Y132" s="227" t="e">
        <f t="shared" ca="1" si="40"/>
        <v>#VALUE!</v>
      </c>
      <c r="Z132" s="227" t="e">
        <f t="shared" ca="1" si="40"/>
        <v>#VALUE!</v>
      </c>
      <c r="AA132" s="227" t="e">
        <f t="shared" ca="1" si="38"/>
        <v>#VALUE!</v>
      </c>
      <c r="AB132" s="227" t="e">
        <f t="shared" ca="1" si="38"/>
        <v>#VALUE!</v>
      </c>
      <c r="AC132" s="227" t="e">
        <f t="shared" ca="1" si="38"/>
        <v>#VALUE!</v>
      </c>
      <c r="AD132" s="227" t="e">
        <f t="shared" ca="1" si="38"/>
        <v>#VALUE!</v>
      </c>
      <c r="AE132" s="227" t="e">
        <f t="shared" ca="1" si="38"/>
        <v>#VALUE!</v>
      </c>
      <c r="AF132" s="227" t="e">
        <f t="shared" ca="1" si="38"/>
        <v>#VALUE!</v>
      </c>
      <c r="AG132" s="227" t="e">
        <f t="shared" ca="1" si="38"/>
        <v>#VALUE!</v>
      </c>
      <c r="AH132" s="227" t="e">
        <f t="shared" ca="1" si="38"/>
        <v>#VALUE!</v>
      </c>
      <c r="AI132" s="227" t="e">
        <f t="shared" ca="1" si="38"/>
        <v>#VALUE!</v>
      </c>
      <c r="AJ132" s="227" t="e">
        <f t="shared" ca="1" si="38"/>
        <v>#VALUE!</v>
      </c>
      <c r="AK132" s="227" t="e">
        <f t="shared" ca="1" si="38"/>
        <v>#VALUE!</v>
      </c>
      <c r="AL132" s="227" t="e">
        <f t="shared" ca="1" si="38"/>
        <v>#VALUE!</v>
      </c>
      <c r="AM132" s="227" t="e">
        <f t="shared" ca="1" si="38"/>
        <v>#VALUE!</v>
      </c>
      <c r="AN132" s="227" t="e">
        <f t="shared" ca="1" si="38"/>
        <v>#VALUE!</v>
      </c>
      <c r="AO132" s="227" t="e">
        <f t="shared" ca="1" si="38"/>
        <v>#VALUE!</v>
      </c>
      <c r="AP132" s="227" t="e">
        <f t="shared" ca="1" si="39"/>
        <v>#VALUE!</v>
      </c>
    </row>
    <row r="133" spans="1:42" s="5" customFormat="1">
      <c r="A133" s="61" t="str">
        <f>'[5]TS BYDem'!A70</f>
        <v>*</v>
      </c>
      <c r="B133" s="5">
        <f>B112+1</f>
        <v>4</v>
      </c>
      <c r="C133" s="3" t="str">
        <f ca="1">OFFSET($C$9,$B133,0)</f>
        <v>Chemicals</v>
      </c>
      <c r="D133" s="3" t="str">
        <f ca="1">OFFSET($B$9,$B133,0)</f>
        <v>CP</v>
      </c>
      <c r="J133" s="5">
        <f ca="1">SUMIF($B$10:$B$22,$D133,J$10:J$22)*SUMIF($B$10:$B$22,$D133,J$41:J$53)</f>
        <v>1.989786536070515E-2</v>
      </c>
      <c r="K133" s="5">
        <f t="shared" ref="K133:AP133" ca="1" si="41">SUMIF($B$10:$B$22,$D133,K$10:K$22)*SUMIF($B$10:$B$22,$D133,K$41:K$53)</f>
        <v>2.0289913680205673E-2</v>
      </c>
      <c r="L133" s="5">
        <f t="shared" ca="1" si="41"/>
        <v>2.0681961999706195E-2</v>
      </c>
      <c r="M133" s="5">
        <f t="shared" ca="1" si="41"/>
        <v>2.1074010319206717E-2</v>
      </c>
      <c r="N133" s="5">
        <f t="shared" ca="1" si="41"/>
        <v>2.1152227914162686E-2</v>
      </c>
      <c r="O133" s="5">
        <f t="shared" ca="1" si="41"/>
        <v>2.1230445509118654E-2</v>
      </c>
      <c r="P133" s="5">
        <f t="shared" ca="1" si="41"/>
        <v>2.1308663104074622E-2</v>
      </c>
      <c r="Q133" s="5">
        <f t="shared" ca="1" si="41"/>
        <v>2.1386880699030591E-2</v>
      </c>
      <c r="R133" s="5">
        <f t="shared" ca="1" si="41"/>
        <v>2.1465098293986566E-2</v>
      </c>
      <c r="S133" s="5">
        <f t="shared" ca="1" si="41"/>
        <v>2.1844223065188427E-2</v>
      </c>
      <c r="T133" s="5">
        <f t="shared" ca="1" si="41"/>
        <v>2.2223347836390288E-2</v>
      </c>
      <c r="U133" s="5">
        <f t="shared" ca="1" si="41"/>
        <v>2.2602472607592149E-2</v>
      </c>
      <c r="V133" s="5">
        <f t="shared" ca="1" si="41"/>
        <v>2.2981597378794009E-2</v>
      </c>
      <c r="W133" s="5">
        <f t="shared" ca="1" si="41"/>
        <v>2.3360722149995867E-2</v>
      </c>
      <c r="X133" s="5">
        <f t="shared" ca="1" si="41"/>
        <v>2.3934139251007285E-2</v>
      </c>
      <c r="Y133" s="5">
        <f t="shared" ca="1" si="41"/>
        <v>2.4507556352018702E-2</v>
      </c>
      <c r="Z133" s="5">
        <f t="shared" ca="1" si="41"/>
        <v>2.508097345303012E-2</v>
      </c>
      <c r="AA133" s="5">
        <f t="shared" ca="1" si="41"/>
        <v>2.5654390554041537E-2</v>
      </c>
      <c r="AB133" s="5">
        <f t="shared" ca="1" si="41"/>
        <v>2.6227807655052959E-2</v>
      </c>
      <c r="AC133" s="5">
        <f t="shared" ca="1" si="41"/>
        <v>2.6877910935000519E-2</v>
      </c>
      <c r="AD133" s="5">
        <f t="shared" ca="1" si="41"/>
        <v>2.752801421494808E-2</v>
      </c>
      <c r="AE133" s="5">
        <f t="shared" ca="1" si="41"/>
        <v>2.8178117494895641E-2</v>
      </c>
      <c r="AF133" s="5">
        <f t="shared" ca="1" si="41"/>
        <v>2.8828220774843202E-2</v>
      </c>
      <c r="AG133" s="5">
        <f t="shared" ca="1" si="41"/>
        <v>2.9478324054790762E-2</v>
      </c>
      <c r="AH133" s="5">
        <f t="shared" ca="1" si="41"/>
        <v>3.021313706878348E-2</v>
      </c>
      <c r="AI133" s="5">
        <f t="shared" ca="1" si="41"/>
        <v>3.0947950082776197E-2</v>
      </c>
      <c r="AJ133" s="5">
        <f t="shared" ca="1" si="41"/>
        <v>3.1682763096768915E-2</v>
      </c>
      <c r="AK133" s="5">
        <f t="shared" ca="1" si="41"/>
        <v>3.2417576110761633E-2</v>
      </c>
      <c r="AL133" s="5">
        <f t="shared" ca="1" si="41"/>
        <v>3.3152389124754343E-2</v>
      </c>
      <c r="AM133" s="5">
        <f t="shared" ca="1" si="41"/>
        <v>3.6624309652768819E-2</v>
      </c>
      <c r="AN133" s="5">
        <f t="shared" ca="1" si="41"/>
        <v>4.0081265547416464E-2</v>
      </c>
      <c r="AO133" s="5">
        <f t="shared" ca="1" si="41"/>
        <v>4.7012636075639769E-2</v>
      </c>
      <c r="AP133" s="5">
        <f t="shared" ca="1" si="41"/>
        <v>5.3941512498301813E-2</v>
      </c>
    </row>
    <row r="134" spans="1:42">
      <c r="A134" s="61" t="str">
        <f>'[5]TS BYDem'!A73</f>
        <v/>
      </c>
      <c r="B134" s="227" t="s">
        <v>295</v>
      </c>
      <c r="C134" s="227" t="s">
        <v>138</v>
      </c>
      <c r="D134" s="227" t="str">
        <f>'[5]TS BYDem'!D73</f>
        <v>ICPK</v>
      </c>
      <c r="E134" s="227" t="s">
        <v>138</v>
      </c>
      <c r="F134" s="227" t="s">
        <v>138</v>
      </c>
      <c r="G134" s="227" t="s">
        <v>138</v>
      </c>
      <c r="H134" s="227" t="s">
        <v>138</v>
      </c>
      <c r="I134" s="227">
        <v>0</v>
      </c>
      <c r="J134" s="227">
        <f>INDEX('[5]TS BYDem'!$J$10:$J$203,MATCH(D134,'[5]TS BYDem'!$D$10:$D$203,0))</f>
        <v>0.55647663194961794</v>
      </c>
      <c r="K134" s="227">
        <f ca="1">K$133/J$133*J134</f>
        <v>0.56744090999865926</v>
      </c>
      <c r="L134" s="227">
        <f t="shared" ref="L134:AA134" ca="1" si="42">L$133/K$133*K134</f>
        <v>0.57840518804770058</v>
      </c>
      <c r="M134" s="234">
        <f t="shared" ref="M134:M142" si="43">O134</f>
        <v>0.63970000000000005</v>
      </c>
      <c r="N134" s="234">
        <f t="shared" ref="N134:N142" si="44">O134</f>
        <v>0.63970000000000005</v>
      </c>
      <c r="O134" s="234">
        <f>INDEX('[5]TS BYDem'!$O$10:$O$203,MATCH(D134,'[5]TS BYDem'!$D$10:$D$203,0))</f>
        <v>0.63970000000000005</v>
      </c>
      <c r="P134" s="227">
        <f t="shared" ca="1" si="42"/>
        <v>0.64205679441921482</v>
      </c>
      <c r="Q134" s="227">
        <f t="shared" ca="1" si="42"/>
        <v>0.64441358883842959</v>
      </c>
      <c r="R134" s="227">
        <f t="shared" ca="1" si="42"/>
        <v>0.64677038325764458</v>
      </c>
      <c r="S134" s="227">
        <f t="shared" ca="1" si="42"/>
        <v>0.65819388899772258</v>
      </c>
      <c r="T134" s="227">
        <f t="shared" ca="1" si="42"/>
        <v>0.66961739473780058</v>
      </c>
      <c r="U134" s="227">
        <f t="shared" ca="1" si="42"/>
        <v>0.68104090047787857</v>
      </c>
      <c r="V134" s="227">
        <f t="shared" ca="1" si="42"/>
        <v>0.69246440621795657</v>
      </c>
      <c r="W134" s="227">
        <f t="shared" ca="1" si="42"/>
        <v>0.70388791195803446</v>
      </c>
      <c r="X134" s="227">
        <f t="shared" ca="1" si="42"/>
        <v>0.72116568973050055</v>
      </c>
      <c r="Y134" s="227">
        <f t="shared" ca="1" si="42"/>
        <v>0.73844346750296674</v>
      </c>
      <c r="Z134" s="227">
        <f t="shared" ca="1" si="42"/>
        <v>0.75572124527543283</v>
      </c>
      <c r="AA134" s="227">
        <f t="shared" ca="1" si="42"/>
        <v>0.77299902304789891</v>
      </c>
      <c r="AB134" s="227">
        <f t="shared" ref="AA134:AP149" ca="1" si="45">AB$133/AA$133*AA134</f>
        <v>0.79027680082036522</v>
      </c>
      <c r="AC134" s="227">
        <f t="shared" ca="1" si="45"/>
        <v>0.80986522952309004</v>
      </c>
      <c r="AD134" s="227">
        <f t="shared" ca="1" si="45"/>
        <v>0.82945365822581485</v>
      </c>
      <c r="AE134" s="227">
        <f t="shared" ca="1" si="45"/>
        <v>0.84904208692853955</v>
      </c>
      <c r="AF134" s="227">
        <f t="shared" ca="1" si="45"/>
        <v>0.86863051563126437</v>
      </c>
      <c r="AG134" s="227">
        <f t="shared" ca="1" si="45"/>
        <v>0.88821894433398918</v>
      </c>
      <c r="AH134" s="227">
        <f t="shared" ca="1" si="45"/>
        <v>0.91035978376428983</v>
      </c>
      <c r="AI134" s="227">
        <f t="shared" ca="1" si="45"/>
        <v>0.93250062319459026</v>
      </c>
      <c r="AJ134" s="227">
        <f t="shared" ca="1" si="45"/>
        <v>0.95464146262489091</v>
      </c>
      <c r="AK134" s="227">
        <f t="shared" ca="1" si="45"/>
        <v>0.97678230205519145</v>
      </c>
      <c r="AL134" s="227">
        <f t="shared" ca="1" si="45"/>
        <v>0.99892314148549188</v>
      </c>
      <c r="AM134" s="227">
        <f t="shared" ca="1" si="45"/>
        <v>1.1035364695862577</v>
      </c>
      <c r="AN134" s="227">
        <f t="shared" ca="1" si="45"/>
        <v>1.2076988944800866</v>
      </c>
      <c r="AO134" s="227">
        <f t="shared" ca="1" si="45"/>
        <v>1.4165497980091721</v>
      </c>
      <c r="AP134" s="227">
        <f t="shared" ca="1" si="45"/>
        <v>1.6253255510037645</v>
      </c>
    </row>
    <row r="135" spans="1:42">
      <c r="A135" s="61" t="str">
        <f>'[5]TS BYDem'!A74</f>
        <v/>
      </c>
      <c r="B135" s="227" t="s">
        <v>295</v>
      </c>
      <c r="C135" s="227" t="s">
        <v>138</v>
      </c>
      <c r="D135" s="227" t="str">
        <f>'[5]TS BYDem'!D74</f>
        <v>ICPA</v>
      </c>
      <c r="E135" s="227" t="s">
        <v>138</v>
      </c>
      <c r="F135" s="227" t="s">
        <v>138</v>
      </c>
      <c r="G135" s="227" t="s">
        <v>138</v>
      </c>
      <c r="H135" s="227" t="s">
        <v>138</v>
      </c>
      <c r="I135" s="227">
        <v>0</v>
      </c>
      <c r="J135" s="227">
        <f>INDEX('[5]TS BYDem'!$J$10:$J$203,MATCH(D135,'[5]TS BYDem'!$D$10:$D$203,0))</f>
        <v>0.2086787369811067</v>
      </c>
      <c r="K135" s="227">
        <f t="shared" ref="K135:Z150" ca="1" si="46">K$133/J$133*J135</f>
        <v>0.21279034124949719</v>
      </c>
      <c r="L135" s="227">
        <f t="shared" ca="1" si="46"/>
        <v>0.21690194551788769</v>
      </c>
      <c r="M135" s="234">
        <f t="shared" si="43"/>
        <v>0.2398875</v>
      </c>
      <c r="N135" s="234">
        <f t="shared" si="44"/>
        <v>0.2398875</v>
      </c>
      <c r="O135" s="234">
        <f>INDEX('[5]TS BYDem'!$O$10:$O$203,MATCH(D135,'[5]TS BYDem'!$D$10:$D$203,0))</f>
        <v>0.2398875</v>
      </c>
      <c r="P135" s="227">
        <f t="shared" ca="1" si="46"/>
        <v>0.24077129790720553</v>
      </c>
      <c r="Q135" s="227">
        <f t="shared" ca="1" si="46"/>
        <v>0.24165509581441105</v>
      </c>
      <c r="R135" s="227">
        <f t="shared" ca="1" si="46"/>
        <v>0.24253889372161666</v>
      </c>
      <c r="S135" s="227">
        <f t="shared" ca="1" si="46"/>
        <v>0.24682270837414591</v>
      </c>
      <c r="T135" s="227">
        <f t="shared" ca="1" si="46"/>
        <v>0.25110652302667513</v>
      </c>
      <c r="U135" s="227">
        <f t="shared" ca="1" si="46"/>
        <v>0.25539033767920438</v>
      </c>
      <c r="V135" s="227">
        <f t="shared" ca="1" si="46"/>
        <v>0.25967415233173363</v>
      </c>
      <c r="W135" s="227">
        <f t="shared" ca="1" si="46"/>
        <v>0.26395796698426283</v>
      </c>
      <c r="X135" s="227">
        <f t="shared" ca="1" si="46"/>
        <v>0.27043713364893762</v>
      </c>
      <c r="Y135" s="227">
        <f t="shared" ca="1" si="46"/>
        <v>0.27691630031361242</v>
      </c>
      <c r="Z135" s="227">
        <f t="shared" ca="1" si="46"/>
        <v>0.28339546697828721</v>
      </c>
      <c r="AA135" s="227">
        <f t="shared" ca="1" si="45"/>
        <v>0.28987463364296201</v>
      </c>
      <c r="AB135" s="227">
        <f t="shared" ca="1" si="45"/>
        <v>0.29635380030763686</v>
      </c>
      <c r="AC135" s="227">
        <f t="shared" ca="1" si="45"/>
        <v>0.30369946107115864</v>
      </c>
      <c r="AD135" s="227">
        <f t="shared" ca="1" si="45"/>
        <v>0.31104512183468047</v>
      </c>
      <c r="AE135" s="227">
        <f t="shared" ca="1" si="45"/>
        <v>0.31839078259820225</v>
      </c>
      <c r="AF135" s="227">
        <f t="shared" ca="1" si="45"/>
        <v>0.32573644336172403</v>
      </c>
      <c r="AG135" s="227">
        <f t="shared" ca="1" si="45"/>
        <v>0.33308210412524586</v>
      </c>
      <c r="AH135" s="227">
        <f t="shared" ca="1" si="45"/>
        <v>0.3413849189116086</v>
      </c>
      <c r="AI135" s="227">
        <f t="shared" ca="1" si="45"/>
        <v>0.34968773369797129</v>
      </c>
      <c r="AJ135" s="227">
        <f t="shared" ca="1" si="45"/>
        <v>0.35799054848433404</v>
      </c>
      <c r="AK135" s="227">
        <f t="shared" ca="1" si="45"/>
        <v>0.36629336327069673</v>
      </c>
      <c r="AL135" s="227">
        <f t="shared" ca="1" si="45"/>
        <v>0.37459617805705941</v>
      </c>
      <c r="AM135" s="227">
        <f t="shared" ca="1" si="45"/>
        <v>0.41382617609484662</v>
      </c>
      <c r="AN135" s="227">
        <f t="shared" ca="1" si="45"/>
        <v>0.45288708543003248</v>
      </c>
      <c r="AO135" s="227">
        <f t="shared" ca="1" si="45"/>
        <v>0.53120617425343963</v>
      </c>
      <c r="AP135" s="227">
        <f t="shared" ca="1" si="45"/>
        <v>0.60949708162641181</v>
      </c>
    </row>
    <row r="136" spans="1:42">
      <c r="A136" s="61" t="str">
        <f>'[5]TS BYDem'!A75</f>
        <v/>
      </c>
      <c r="B136" s="227" t="s">
        <v>295</v>
      </c>
      <c r="C136" s="227" t="s">
        <v>138</v>
      </c>
      <c r="D136" s="227" t="str">
        <f>'[5]TS BYDem'!D75</f>
        <v>ICPL</v>
      </c>
      <c r="E136" s="227" t="s">
        <v>138</v>
      </c>
      <c r="F136" s="227" t="s">
        <v>138</v>
      </c>
      <c r="G136" s="227" t="s">
        <v>138</v>
      </c>
      <c r="H136" s="227" t="s">
        <v>138</v>
      </c>
      <c r="I136" s="227">
        <v>0</v>
      </c>
      <c r="J136" s="227">
        <f>INDEX('[5]TS BYDem'!$J$10:$J$203,MATCH(D136,'[5]TS BYDem'!$D$10:$D$203,0))</f>
        <v>0.3338859791697707</v>
      </c>
      <c r="K136" s="227">
        <f t="shared" ca="1" si="46"/>
        <v>0.34046454599919551</v>
      </c>
      <c r="L136" s="227">
        <f t="shared" ca="1" si="46"/>
        <v>0.34704311282862027</v>
      </c>
      <c r="M136" s="234">
        <f t="shared" si="43"/>
        <v>0.38381999999999999</v>
      </c>
      <c r="N136" s="234">
        <f t="shared" si="44"/>
        <v>0.38381999999999999</v>
      </c>
      <c r="O136" s="234">
        <f>INDEX('[5]TS BYDem'!$O$10:$O$203,MATCH(D136,'[5]TS BYDem'!$D$10:$D$203,0))</f>
        <v>0.38381999999999999</v>
      </c>
      <c r="P136" s="227">
        <f t="shared" ca="1" si="46"/>
        <v>0.38523407665152881</v>
      </c>
      <c r="Q136" s="227">
        <f t="shared" ca="1" si="46"/>
        <v>0.38664815330305768</v>
      </c>
      <c r="R136" s="227">
        <f t="shared" ca="1" si="46"/>
        <v>0.38806222995458667</v>
      </c>
      <c r="S136" s="227">
        <f t="shared" ca="1" si="46"/>
        <v>0.39491633339863347</v>
      </c>
      <c r="T136" s="227">
        <f t="shared" ca="1" si="46"/>
        <v>0.40177043684268021</v>
      </c>
      <c r="U136" s="227">
        <f t="shared" ca="1" si="46"/>
        <v>0.40862454028672701</v>
      </c>
      <c r="V136" s="227">
        <f t="shared" ca="1" si="46"/>
        <v>0.41547864373077376</v>
      </c>
      <c r="W136" s="227">
        <f t="shared" ca="1" si="46"/>
        <v>0.42233274717482044</v>
      </c>
      <c r="X136" s="227">
        <f t="shared" ca="1" si="46"/>
        <v>0.43269941383830013</v>
      </c>
      <c r="Y136" s="227">
        <f t="shared" ca="1" si="46"/>
        <v>0.44306608050177981</v>
      </c>
      <c r="Z136" s="227">
        <f t="shared" ca="1" si="46"/>
        <v>0.45343274716525944</v>
      </c>
      <c r="AA136" s="227">
        <f t="shared" ca="1" si="45"/>
        <v>0.46379941382873907</v>
      </c>
      <c r="AB136" s="227">
        <f t="shared" ca="1" si="45"/>
        <v>0.47416608049221887</v>
      </c>
      <c r="AC136" s="227">
        <f t="shared" ca="1" si="45"/>
        <v>0.4859191377138537</v>
      </c>
      <c r="AD136" s="227">
        <f t="shared" ca="1" si="45"/>
        <v>0.49767219493548859</v>
      </c>
      <c r="AE136" s="227">
        <f t="shared" ca="1" si="45"/>
        <v>0.50942525215712342</v>
      </c>
      <c r="AF136" s="227">
        <f t="shared" ca="1" si="45"/>
        <v>0.52117830937875831</v>
      </c>
      <c r="AG136" s="227">
        <f t="shared" ca="1" si="45"/>
        <v>0.5329313666003932</v>
      </c>
      <c r="AH136" s="227">
        <f t="shared" ca="1" si="45"/>
        <v>0.54621587025857354</v>
      </c>
      <c r="AI136" s="227">
        <f t="shared" ca="1" si="45"/>
        <v>0.55950037391675378</v>
      </c>
      <c r="AJ136" s="227">
        <f t="shared" ca="1" si="45"/>
        <v>0.57278487757493413</v>
      </c>
      <c r="AK136" s="227">
        <f t="shared" ca="1" si="45"/>
        <v>0.58606938123311447</v>
      </c>
      <c r="AL136" s="227">
        <f t="shared" ca="1" si="45"/>
        <v>0.59935388489129471</v>
      </c>
      <c r="AM136" s="227">
        <f t="shared" ca="1" si="45"/>
        <v>0.66212188175175424</v>
      </c>
      <c r="AN136" s="227">
        <f t="shared" ca="1" si="45"/>
        <v>0.72461933668805156</v>
      </c>
      <c r="AO136" s="227">
        <f t="shared" ca="1" si="45"/>
        <v>0.84992987880550286</v>
      </c>
      <c r="AP136" s="227">
        <f t="shared" ca="1" si="45"/>
        <v>0.97519533060225827</v>
      </c>
    </row>
    <row r="137" spans="1:42">
      <c r="A137" s="61" t="str">
        <f>'[5]TS BYDem'!A76</f>
        <v/>
      </c>
      <c r="B137" s="227" t="s">
        <v>295</v>
      </c>
      <c r="C137" s="227" t="s">
        <v>138</v>
      </c>
      <c r="D137" s="227" t="str">
        <f>'[5]TS BYDem'!D76</f>
        <v>ICPC</v>
      </c>
      <c r="E137" s="227" t="s">
        <v>138</v>
      </c>
      <c r="F137" s="227" t="s">
        <v>138</v>
      </c>
      <c r="G137" s="227" t="s">
        <v>138</v>
      </c>
      <c r="H137" s="227" t="s">
        <v>138</v>
      </c>
      <c r="I137" s="227">
        <v>0</v>
      </c>
      <c r="J137" s="227">
        <f>INDEX('[5]TS BYDem'!$J$10:$J$203,MATCH(D137,'[5]TS BYDem'!$D$10:$D$203,0))</f>
        <v>2.7823831597480893</v>
      </c>
      <c r="K137" s="227">
        <f ca="1">K$133/J$133*J137</f>
        <v>2.8372045499932961</v>
      </c>
      <c r="L137" s="227">
        <f t="shared" ca="1" si="46"/>
        <v>2.8920259402385025</v>
      </c>
      <c r="M137" s="234">
        <f t="shared" si="43"/>
        <v>3.1985000000000001</v>
      </c>
      <c r="N137" s="234">
        <f t="shared" si="44"/>
        <v>3.1985000000000001</v>
      </c>
      <c r="O137" s="234">
        <f>INDEX('[5]TS BYDem'!$O$10:$O$203,MATCH(D137,'[5]TS BYDem'!$D$10:$D$203,0))</f>
        <v>3.1985000000000001</v>
      </c>
      <c r="P137" s="227">
        <f t="shared" ca="1" si="46"/>
        <v>3.2102839720960739</v>
      </c>
      <c r="Q137" s="227">
        <f t="shared" ca="1" si="46"/>
        <v>3.2220679441921476</v>
      </c>
      <c r="R137" s="227">
        <f t="shared" ca="1" si="46"/>
        <v>3.2338519162882227</v>
      </c>
      <c r="S137" s="227">
        <f t="shared" ca="1" si="46"/>
        <v>3.2909694449886127</v>
      </c>
      <c r="T137" s="227">
        <f t="shared" ca="1" si="46"/>
        <v>3.3480869736890022</v>
      </c>
      <c r="U137" s="227">
        <f t="shared" ca="1" si="46"/>
        <v>3.4052045023893922</v>
      </c>
      <c r="V137" s="227">
        <f t="shared" ca="1" si="46"/>
        <v>3.4623220310897818</v>
      </c>
      <c r="W137" s="227">
        <f t="shared" ca="1" si="46"/>
        <v>3.5194395597901709</v>
      </c>
      <c r="X137" s="227">
        <f t="shared" ca="1" si="46"/>
        <v>3.6058284486525016</v>
      </c>
      <c r="Y137" s="227">
        <f t="shared" ca="1" si="46"/>
        <v>3.6922173375148324</v>
      </c>
      <c r="Z137" s="227">
        <f t="shared" ca="1" si="46"/>
        <v>3.7786062263771627</v>
      </c>
      <c r="AA137" s="227">
        <f t="shared" ca="1" si="45"/>
        <v>3.864995115239493</v>
      </c>
      <c r="AB137" s="227">
        <f t="shared" ca="1" si="45"/>
        <v>3.9513840041018247</v>
      </c>
      <c r="AC137" s="227">
        <f t="shared" ca="1" si="45"/>
        <v>4.0493261476154485</v>
      </c>
      <c r="AD137" s="227">
        <f t="shared" ca="1" si="45"/>
        <v>4.1472682911290724</v>
      </c>
      <c r="AE137" s="227">
        <f t="shared" ca="1" si="45"/>
        <v>4.2452104346426962</v>
      </c>
      <c r="AF137" s="227">
        <f t="shared" ca="1" si="45"/>
        <v>4.3431525781563201</v>
      </c>
      <c r="AG137" s="227">
        <f t="shared" ca="1" si="45"/>
        <v>4.4410947216699439</v>
      </c>
      <c r="AH137" s="227">
        <f t="shared" ca="1" si="45"/>
        <v>4.5517989188214472</v>
      </c>
      <c r="AI137" s="227">
        <f t="shared" ca="1" si="45"/>
        <v>4.6625031159729495</v>
      </c>
      <c r="AJ137" s="227">
        <f t="shared" ca="1" si="45"/>
        <v>4.7732073131244528</v>
      </c>
      <c r="AK137" s="227">
        <f t="shared" ca="1" si="45"/>
        <v>4.8839115102759552</v>
      </c>
      <c r="AL137" s="227">
        <f t="shared" ca="1" si="45"/>
        <v>4.9946157074274575</v>
      </c>
      <c r="AM137" s="227">
        <f t="shared" ca="1" si="45"/>
        <v>5.5176823479312871</v>
      </c>
      <c r="AN137" s="227">
        <f t="shared" ca="1" si="45"/>
        <v>6.0384944724004317</v>
      </c>
      <c r="AO137" s="227">
        <f t="shared" ca="1" si="45"/>
        <v>7.0827489900458591</v>
      </c>
      <c r="AP137" s="227">
        <f t="shared" ca="1" si="45"/>
        <v>8.1266277550188217</v>
      </c>
    </row>
    <row r="138" spans="1:42">
      <c r="A138" s="61" t="str">
        <f>'[5]TS BYDem'!A77</f>
        <v/>
      </c>
      <c r="B138" s="227" t="s">
        <v>295</v>
      </c>
      <c r="C138" s="227" t="s">
        <v>138</v>
      </c>
      <c r="D138" s="227" t="str">
        <f>'[5]TS BYDem'!D77</f>
        <v>ICPH</v>
      </c>
      <c r="E138" s="227" t="s">
        <v>138</v>
      </c>
      <c r="F138" s="227" t="s">
        <v>138</v>
      </c>
      <c r="G138" s="227" t="s">
        <v>138</v>
      </c>
      <c r="H138" s="227" t="s">
        <v>138</v>
      </c>
      <c r="I138" s="227">
        <v>0</v>
      </c>
      <c r="J138" s="227">
        <f>INDEX('[5]TS BYDem'!$J$10:$J$203,MATCH(D138,'[5]TS BYDem'!$D$10:$D$203,0))</f>
        <v>0.5008289687546561</v>
      </c>
      <c r="K138" s="227">
        <f t="shared" ref="K138:O153" ca="1" si="47">K$133/J$133*J138</f>
        <v>0.51069681899879327</v>
      </c>
      <c r="L138" s="227">
        <f t="shared" ca="1" si="46"/>
        <v>0.52056466924293043</v>
      </c>
      <c r="M138" s="234">
        <f t="shared" si="43"/>
        <v>0.57573000000000008</v>
      </c>
      <c r="N138" s="234">
        <f t="shared" si="44"/>
        <v>0.57573000000000008</v>
      </c>
      <c r="O138" s="234">
        <f>INDEX('[5]TS BYDem'!$O$10:$O$203,MATCH(D138,'[5]TS BYDem'!$D$10:$D$203,0))</f>
        <v>0.57573000000000008</v>
      </c>
      <c r="P138" s="227">
        <f t="shared" ca="1" si="46"/>
        <v>0.57785111497729336</v>
      </c>
      <c r="Q138" s="227">
        <f t="shared" ca="1" si="46"/>
        <v>0.57997222995458664</v>
      </c>
      <c r="R138" s="227">
        <f t="shared" ca="1" si="46"/>
        <v>0.58209334493188014</v>
      </c>
      <c r="S138" s="227">
        <f t="shared" ca="1" si="46"/>
        <v>0.59237450009795034</v>
      </c>
      <c r="T138" s="227">
        <f t="shared" ca="1" si="46"/>
        <v>0.60265565526402054</v>
      </c>
      <c r="U138" s="227">
        <f t="shared" ca="1" si="46"/>
        <v>0.61293681043009074</v>
      </c>
      <c r="V138" s="227">
        <f t="shared" ca="1" si="46"/>
        <v>0.62321796559616094</v>
      </c>
      <c r="W138" s="227">
        <f t="shared" ca="1" si="46"/>
        <v>0.63349912076223103</v>
      </c>
      <c r="X138" s="227">
        <f t="shared" ca="1" si="46"/>
        <v>0.64904912075745058</v>
      </c>
      <c r="Y138" s="227">
        <f t="shared" ca="1" si="46"/>
        <v>0.66459912075267014</v>
      </c>
      <c r="Z138" s="227">
        <f t="shared" ca="1" si="46"/>
        <v>0.68014912074788958</v>
      </c>
      <c r="AA138" s="227">
        <f t="shared" ca="1" si="45"/>
        <v>0.69569912074310902</v>
      </c>
      <c r="AB138" s="227">
        <f t="shared" ca="1" si="45"/>
        <v>0.71124912073832869</v>
      </c>
      <c r="AC138" s="227">
        <f t="shared" ca="1" si="45"/>
        <v>0.72887870657078102</v>
      </c>
      <c r="AD138" s="227">
        <f t="shared" ca="1" si="45"/>
        <v>0.74650829240323335</v>
      </c>
      <c r="AE138" s="227">
        <f t="shared" ca="1" si="45"/>
        <v>0.76413787823568557</v>
      </c>
      <c r="AF138" s="227">
        <f t="shared" ca="1" si="45"/>
        <v>0.78176746406813791</v>
      </c>
      <c r="AG138" s="227">
        <f t="shared" ca="1" si="45"/>
        <v>0.79939704990059024</v>
      </c>
      <c r="AH138" s="227">
        <f t="shared" ca="1" si="45"/>
        <v>0.81932380538786076</v>
      </c>
      <c r="AI138" s="227">
        <f t="shared" ca="1" si="45"/>
        <v>0.83925056087513117</v>
      </c>
      <c r="AJ138" s="227">
        <f t="shared" ca="1" si="45"/>
        <v>0.85917731636240169</v>
      </c>
      <c r="AK138" s="227">
        <f t="shared" ca="1" si="45"/>
        <v>0.87910407184967221</v>
      </c>
      <c r="AL138" s="227">
        <f t="shared" ca="1" si="45"/>
        <v>0.89903082733694262</v>
      </c>
      <c r="AM138" s="227">
        <f t="shared" ca="1" si="45"/>
        <v>0.99318282262763191</v>
      </c>
      <c r="AN138" s="227">
        <f t="shared" ca="1" si="45"/>
        <v>1.0869290050320779</v>
      </c>
      <c r="AO138" s="227">
        <f t="shared" ca="1" si="45"/>
        <v>1.2748948182082549</v>
      </c>
      <c r="AP138" s="227">
        <f t="shared" ca="1" si="45"/>
        <v>1.4627929959033881</v>
      </c>
    </row>
    <row r="139" spans="1:42">
      <c r="A139" s="61" t="str">
        <f>'[5]TS BYDem'!A78</f>
        <v/>
      </c>
      <c r="B139" s="227" t="s">
        <v>295</v>
      </c>
      <c r="C139" s="227" t="s">
        <v>138</v>
      </c>
      <c r="D139" s="227" t="str">
        <f>'[5]TS BYDem'!D78</f>
        <v>ICPP</v>
      </c>
      <c r="E139" s="227" t="s">
        <v>138</v>
      </c>
      <c r="F139" s="227" t="s">
        <v>138</v>
      </c>
      <c r="G139" s="227" t="s">
        <v>138</v>
      </c>
      <c r="H139" s="227" t="s">
        <v>138</v>
      </c>
      <c r="I139" s="227">
        <v>0</v>
      </c>
      <c r="J139" s="227">
        <f>INDEX('[5]TS BYDem'!$J$10:$J$203,MATCH(D139,'[5]TS BYDem'!$D$10:$D$203,0))</f>
        <v>7.7906728472946494</v>
      </c>
      <c r="K139" s="227">
        <f t="shared" ca="1" si="47"/>
        <v>7.9441727399812283</v>
      </c>
      <c r="L139" s="227">
        <f t="shared" ca="1" si="46"/>
        <v>8.0976726326678072</v>
      </c>
      <c r="M139" s="234">
        <f t="shared" si="43"/>
        <v>8.9558</v>
      </c>
      <c r="N139" s="234">
        <f t="shared" si="44"/>
        <v>8.9558</v>
      </c>
      <c r="O139" s="234">
        <f>INDEX('[5]TS BYDem'!$O$10:$O$203,MATCH(D139,'[5]TS BYDem'!$D$10:$D$203,0))</f>
        <v>8.9558</v>
      </c>
      <c r="P139" s="227">
        <f t="shared" ca="1" si="46"/>
        <v>8.9887951218690052</v>
      </c>
      <c r="Q139" s="227">
        <f t="shared" ca="1" si="46"/>
        <v>9.0217902437380122</v>
      </c>
      <c r="R139" s="227">
        <f t="shared" ca="1" si="46"/>
        <v>9.0547853656070227</v>
      </c>
      <c r="S139" s="227">
        <f t="shared" ca="1" si="46"/>
        <v>9.2147144459681147</v>
      </c>
      <c r="T139" s="227">
        <f t="shared" ca="1" si="46"/>
        <v>9.3746435263292067</v>
      </c>
      <c r="U139" s="227">
        <f t="shared" ca="1" si="46"/>
        <v>9.5345726066902987</v>
      </c>
      <c r="V139" s="227">
        <f t="shared" ca="1" si="46"/>
        <v>9.6945016870513907</v>
      </c>
      <c r="W139" s="227">
        <f t="shared" ca="1" si="46"/>
        <v>9.8544307674124809</v>
      </c>
      <c r="X139" s="227">
        <f t="shared" ca="1" si="46"/>
        <v>10.096319656227006</v>
      </c>
      <c r="Y139" s="227">
        <f t="shared" ca="1" si="46"/>
        <v>10.338208545041534</v>
      </c>
      <c r="Z139" s="227">
        <f t="shared" ca="1" si="46"/>
        <v>10.580097433856059</v>
      </c>
      <c r="AA139" s="227">
        <f t="shared" ca="1" si="45"/>
        <v>10.821986322670584</v>
      </c>
      <c r="AB139" s="227">
        <f t="shared" ca="1" si="45"/>
        <v>11.063875211485113</v>
      </c>
      <c r="AC139" s="227">
        <f t="shared" ca="1" si="45"/>
        <v>11.338113213323259</v>
      </c>
      <c r="AD139" s="227">
        <f t="shared" ca="1" si="45"/>
        <v>11.612351215161407</v>
      </c>
      <c r="AE139" s="227">
        <f t="shared" ca="1" si="45"/>
        <v>11.886589216999553</v>
      </c>
      <c r="AF139" s="227">
        <f t="shared" ca="1" si="45"/>
        <v>12.160827218837701</v>
      </c>
      <c r="AG139" s="227">
        <f t="shared" ca="1" si="45"/>
        <v>12.435065220675849</v>
      </c>
      <c r="AH139" s="227">
        <f t="shared" ca="1" si="45"/>
        <v>12.745036972700058</v>
      </c>
      <c r="AI139" s="227">
        <f t="shared" ca="1" si="45"/>
        <v>13.055008724724265</v>
      </c>
      <c r="AJ139" s="227">
        <f t="shared" ca="1" si="45"/>
        <v>13.364980476748475</v>
      </c>
      <c r="AK139" s="227">
        <f t="shared" ca="1" si="45"/>
        <v>13.674952228772682</v>
      </c>
      <c r="AL139" s="227">
        <f t="shared" ca="1" si="45"/>
        <v>13.984923980796887</v>
      </c>
      <c r="AM139" s="227">
        <f t="shared" ca="1" si="45"/>
        <v>15.449510574207611</v>
      </c>
      <c r="AN139" s="227">
        <f t="shared" ca="1" si="45"/>
        <v>16.907784522721215</v>
      </c>
      <c r="AO139" s="227">
        <f t="shared" ca="1" si="45"/>
        <v>19.831697172128415</v>
      </c>
      <c r="AP139" s="227">
        <f t="shared" ca="1" si="45"/>
        <v>22.754557714052709</v>
      </c>
    </row>
    <row r="140" spans="1:42">
      <c r="A140" s="61" t="str">
        <f>'[5]TS BYDem'!A79</f>
        <v/>
      </c>
      <c r="B140" s="227" t="s">
        <v>295</v>
      </c>
      <c r="C140" s="227" t="s">
        <v>138</v>
      </c>
      <c r="D140" s="227" t="str">
        <f>'[5]TS BYDem'!D79</f>
        <v>ICPF</v>
      </c>
      <c r="E140" s="227" t="s">
        <v>138</v>
      </c>
      <c r="F140" s="227" t="s">
        <v>138</v>
      </c>
      <c r="G140" s="227" t="s">
        <v>138</v>
      </c>
      <c r="H140" s="227" t="s">
        <v>138</v>
      </c>
      <c r="I140" s="227">
        <v>0</v>
      </c>
      <c r="J140" s="227">
        <f>INDEX('[5]TS BYDem'!$J$10:$J$203,MATCH(D140,'[5]TS BYDem'!$D$10:$D$203,0))</f>
        <v>1.7807252222387775</v>
      </c>
      <c r="K140" s="227">
        <f t="shared" ca="1" si="47"/>
        <v>1.8158109119957098</v>
      </c>
      <c r="L140" s="227">
        <f t="shared" ca="1" si="46"/>
        <v>1.850896601752642</v>
      </c>
      <c r="M140" s="234">
        <f t="shared" si="43"/>
        <v>2.0470400000000004</v>
      </c>
      <c r="N140" s="234">
        <f t="shared" si="44"/>
        <v>2.0470400000000004</v>
      </c>
      <c r="O140" s="234">
        <f>INDEX('[5]TS BYDem'!$O$10:$O$203,MATCH(D140,'[5]TS BYDem'!$D$10:$D$203,0))</f>
        <v>2.0470400000000004</v>
      </c>
      <c r="P140" s="227">
        <f t="shared" ca="1" si="46"/>
        <v>2.0545817421414876</v>
      </c>
      <c r="Q140" s="227">
        <f t="shared" ca="1" si="46"/>
        <v>2.0621234842829748</v>
      </c>
      <c r="R140" s="227">
        <f t="shared" ca="1" si="46"/>
        <v>2.0696652264244628</v>
      </c>
      <c r="S140" s="227">
        <f t="shared" ca="1" si="46"/>
        <v>2.1062204447927124</v>
      </c>
      <c r="T140" s="227">
        <f t="shared" ca="1" si="46"/>
        <v>2.142775663160962</v>
      </c>
      <c r="U140" s="227">
        <f t="shared" ca="1" si="46"/>
        <v>2.1793308815292116</v>
      </c>
      <c r="V140" s="227">
        <f t="shared" ca="1" si="46"/>
        <v>2.2158860998974612</v>
      </c>
      <c r="W140" s="227">
        <f t="shared" ca="1" si="46"/>
        <v>2.2524413182657104</v>
      </c>
      <c r="X140" s="227">
        <f t="shared" ca="1" si="46"/>
        <v>2.307730207137602</v>
      </c>
      <c r="Y140" s="227">
        <f t="shared" ca="1" si="46"/>
        <v>2.3630190960094937</v>
      </c>
      <c r="Z140" s="227">
        <f t="shared" ca="1" si="46"/>
        <v>2.4183079848813853</v>
      </c>
      <c r="AA140" s="227">
        <f t="shared" ca="1" si="45"/>
        <v>2.473596873753277</v>
      </c>
      <c r="AB140" s="227">
        <f t="shared" ca="1" si="45"/>
        <v>2.5288857626251691</v>
      </c>
      <c r="AC140" s="227">
        <f t="shared" ca="1" si="45"/>
        <v>2.5915687344738885</v>
      </c>
      <c r="AD140" s="227">
        <f t="shared" ca="1" si="45"/>
        <v>2.6542517063226079</v>
      </c>
      <c r="AE140" s="227">
        <f t="shared" ca="1" si="45"/>
        <v>2.7169346781713268</v>
      </c>
      <c r="AF140" s="227">
        <f t="shared" ca="1" si="45"/>
        <v>2.7796176500200462</v>
      </c>
      <c r="AG140" s="227">
        <f t="shared" ca="1" si="45"/>
        <v>2.8423006218687656</v>
      </c>
      <c r="AH140" s="227">
        <f t="shared" ca="1" si="45"/>
        <v>2.9131513080457276</v>
      </c>
      <c r="AI140" s="227">
        <f t="shared" ca="1" si="45"/>
        <v>2.9840019942226892</v>
      </c>
      <c r="AJ140" s="227">
        <f t="shared" ca="1" si="45"/>
        <v>3.0548526803996512</v>
      </c>
      <c r="AK140" s="227">
        <f t="shared" ca="1" si="45"/>
        <v>3.1257033665766127</v>
      </c>
      <c r="AL140" s="227">
        <f t="shared" ca="1" si="45"/>
        <v>3.1965540527535743</v>
      </c>
      <c r="AM140" s="227">
        <f t="shared" ca="1" si="45"/>
        <v>3.5313167026760253</v>
      </c>
      <c r="AN140" s="227">
        <f t="shared" ca="1" si="45"/>
        <v>3.8646364623362777</v>
      </c>
      <c r="AO140" s="227">
        <f t="shared" ca="1" si="45"/>
        <v>4.5329593536293515</v>
      </c>
      <c r="AP140" s="227">
        <f t="shared" ca="1" si="45"/>
        <v>5.2010417632120474</v>
      </c>
    </row>
    <row r="141" spans="1:42">
      <c r="A141" s="61" t="str">
        <f>'[5]TS BYDem'!A80</f>
        <v/>
      </c>
      <c r="B141" s="227" t="s">
        <v>295</v>
      </c>
      <c r="C141" s="227" t="s">
        <v>138</v>
      </c>
      <c r="D141" s="227" t="str">
        <f>'[5]TS BYDem'!D80</f>
        <v>ICPO</v>
      </c>
      <c r="E141" s="227" t="s">
        <v>138</v>
      </c>
      <c r="F141" s="227" t="s">
        <v>138</v>
      </c>
      <c r="G141" s="227" t="s">
        <v>138</v>
      </c>
      <c r="H141" s="227" t="s">
        <v>138</v>
      </c>
      <c r="I141" s="227">
        <v>0</v>
      </c>
      <c r="J141" s="227">
        <f>INDEX('[5]TS BYDem'!$J$10:$J$203,MATCH(D141,'[5]TS BYDem'!$D$10:$D$203,0))</f>
        <v>4.4518130555969435</v>
      </c>
      <c r="K141" s="227">
        <f t="shared" ca="1" si="47"/>
        <v>4.5395272799892741</v>
      </c>
      <c r="L141" s="227">
        <f t="shared" ca="1" si="46"/>
        <v>4.6272415043816046</v>
      </c>
      <c r="M141" s="234">
        <f t="shared" si="43"/>
        <v>5.1176000000000004</v>
      </c>
      <c r="N141" s="234">
        <f t="shared" si="44"/>
        <v>5.1176000000000004</v>
      </c>
      <c r="O141" s="234">
        <f>INDEX('[5]TS BYDem'!$O$10:$O$203,MATCH(D141,'[5]TS BYDem'!$D$10:$D$203,0))</f>
        <v>5.1176000000000004</v>
      </c>
      <c r="P141" s="227">
        <f t="shared" ca="1" si="46"/>
        <v>5.1364543553537185</v>
      </c>
      <c r="Q141" s="227">
        <f t="shared" ca="1" si="46"/>
        <v>5.1553087107074367</v>
      </c>
      <c r="R141" s="227">
        <f t="shared" ca="1" si="46"/>
        <v>5.1741630660611566</v>
      </c>
      <c r="S141" s="227">
        <f t="shared" ca="1" si="46"/>
        <v>5.2655511119817806</v>
      </c>
      <c r="T141" s="227">
        <f t="shared" ca="1" si="46"/>
        <v>5.3569391579024046</v>
      </c>
      <c r="U141" s="227">
        <f t="shared" ca="1" si="46"/>
        <v>5.4483272038230286</v>
      </c>
      <c r="V141" s="227">
        <f t="shared" ca="1" si="46"/>
        <v>5.5397152497436526</v>
      </c>
      <c r="W141" s="227">
        <f t="shared" ca="1" si="46"/>
        <v>5.6311032956642757</v>
      </c>
      <c r="X141" s="227">
        <f t="shared" ca="1" si="46"/>
        <v>5.7693255178440044</v>
      </c>
      <c r="Y141" s="227">
        <f t="shared" ca="1" si="46"/>
        <v>5.907547740023734</v>
      </c>
      <c r="Z141" s="227">
        <f t="shared" ca="1" si="46"/>
        <v>6.0457699622034626</v>
      </c>
      <c r="AA141" s="227">
        <f t="shared" ca="1" si="45"/>
        <v>6.1839921843831913</v>
      </c>
      <c r="AB141" s="227">
        <f t="shared" ca="1" si="45"/>
        <v>6.3222144065629218</v>
      </c>
      <c r="AC141" s="227">
        <f t="shared" ca="1" si="45"/>
        <v>6.4789218361847203</v>
      </c>
      <c r="AD141" s="227">
        <f t="shared" ca="1" si="45"/>
        <v>6.6356292658065188</v>
      </c>
      <c r="AE141" s="227">
        <f t="shared" ca="1" si="45"/>
        <v>6.7923366954283164</v>
      </c>
      <c r="AF141" s="227">
        <f t="shared" ca="1" si="45"/>
        <v>6.9490441250501149</v>
      </c>
      <c r="AG141" s="227">
        <f t="shared" ca="1" si="45"/>
        <v>7.1057515546719134</v>
      </c>
      <c r="AH141" s="227">
        <f t="shared" ca="1" si="45"/>
        <v>7.2828782701143187</v>
      </c>
      <c r="AI141" s="227">
        <f t="shared" ca="1" si="45"/>
        <v>7.4600049855567221</v>
      </c>
      <c r="AJ141" s="227">
        <f t="shared" ca="1" si="45"/>
        <v>7.6371317009991273</v>
      </c>
      <c r="AK141" s="227">
        <f t="shared" ca="1" si="45"/>
        <v>7.8142584164415316</v>
      </c>
      <c r="AL141" s="227">
        <f t="shared" ca="1" si="45"/>
        <v>7.9913851318839351</v>
      </c>
      <c r="AM141" s="227">
        <f t="shared" ca="1" si="45"/>
        <v>8.8282917566900618</v>
      </c>
      <c r="AN141" s="227">
        <f t="shared" ca="1" si="45"/>
        <v>9.6615911558406928</v>
      </c>
      <c r="AO141" s="227">
        <f t="shared" ca="1" si="45"/>
        <v>11.332398384073377</v>
      </c>
      <c r="AP141" s="227">
        <f t="shared" ca="1" si="45"/>
        <v>13.002604408030116</v>
      </c>
    </row>
    <row r="142" spans="1:42">
      <c r="A142" s="61" t="str">
        <f>'[5]TS BYDem'!A81</f>
        <v/>
      </c>
      <c r="B142" s="227" t="s">
        <v>295</v>
      </c>
      <c r="C142" s="227" t="s">
        <v>138</v>
      </c>
      <c r="D142" s="227" t="str">
        <f>'[5]TS BYDem'!D81</f>
        <v>ICPE</v>
      </c>
      <c r="E142" s="227" t="s">
        <v>138</v>
      </c>
      <c r="F142" s="227" t="s">
        <v>138</v>
      </c>
      <c r="G142" s="227" t="s">
        <v>138</v>
      </c>
      <c r="H142" s="227" t="s">
        <v>138</v>
      </c>
      <c r="I142" s="227">
        <v>0</v>
      </c>
      <c r="J142" s="227">
        <f>INDEX('[5]TS BYDem'!$J$10:$J$203,MATCH(D142,'[5]TS BYDem'!$D$10:$D$203,0))</f>
        <v>1.6916889611268384</v>
      </c>
      <c r="K142" s="227">
        <f t="shared" ca="1" si="47"/>
        <v>1.725020366395924</v>
      </c>
      <c r="L142" s="227">
        <f t="shared" ca="1" si="46"/>
        <v>1.7583517716650097</v>
      </c>
      <c r="M142" s="234">
        <f t="shared" si="43"/>
        <v>1.9446880000000002</v>
      </c>
      <c r="N142" s="234">
        <f t="shared" si="44"/>
        <v>1.9446880000000002</v>
      </c>
      <c r="O142" s="234">
        <f>INDEX('[5]TS BYDem'!$O$10:$O$203,MATCH(D142,'[5]TS BYDem'!$D$10:$D$203,0))</f>
        <v>1.9446880000000002</v>
      </c>
      <c r="P142" s="227">
        <f t="shared" ca="1" si="46"/>
        <v>1.9518526550344129</v>
      </c>
      <c r="Q142" s="227">
        <f t="shared" ca="1" si="46"/>
        <v>1.9590173100688257</v>
      </c>
      <c r="R142" s="227">
        <f t="shared" ca="1" si="46"/>
        <v>1.9661819651032393</v>
      </c>
      <c r="S142" s="227">
        <f t="shared" ca="1" si="46"/>
        <v>2.0009094225530761</v>
      </c>
      <c r="T142" s="227">
        <f t="shared" ca="1" si="46"/>
        <v>2.035636880002913</v>
      </c>
      <c r="U142" s="227">
        <f t="shared" ca="1" si="46"/>
        <v>2.0703643374527503</v>
      </c>
      <c r="V142" s="227">
        <f t="shared" ca="1" si="46"/>
        <v>2.1050917949025871</v>
      </c>
      <c r="W142" s="227">
        <f t="shared" ca="1" si="46"/>
        <v>2.139819252352424</v>
      </c>
      <c r="X142" s="227">
        <f t="shared" ca="1" si="46"/>
        <v>2.1923436967807208</v>
      </c>
      <c r="Y142" s="227">
        <f t="shared" ca="1" si="46"/>
        <v>2.2448681412090181</v>
      </c>
      <c r="Z142" s="227">
        <f t="shared" ca="1" si="46"/>
        <v>2.297392585637315</v>
      </c>
      <c r="AA142" s="227">
        <f t="shared" ca="1" si="45"/>
        <v>2.3499170300656118</v>
      </c>
      <c r="AB142" s="227">
        <f t="shared" ca="1" si="45"/>
        <v>2.4024414744939095</v>
      </c>
      <c r="AC142" s="227">
        <f t="shared" ca="1" si="45"/>
        <v>2.4619902977501926</v>
      </c>
      <c r="AD142" s="227">
        <f t="shared" ca="1" si="45"/>
        <v>2.5215391210064761</v>
      </c>
      <c r="AE142" s="227">
        <f t="shared" ca="1" si="45"/>
        <v>2.5810879442627592</v>
      </c>
      <c r="AF142" s="227">
        <f t="shared" ca="1" si="45"/>
        <v>2.6406367675190427</v>
      </c>
      <c r="AG142" s="227">
        <f t="shared" ca="1" si="45"/>
        <v>2.7001855907753263</v>
      </c>
      <c r="AH142" s="227">
        <f t="shared" ca="1" si="45"/>
        <v>2.7674937426434401</v>
      </c>
      <c r="AI142" s="227">
        <f t="shared" ca="1" si="45"/>
        <v>2.8348018945115534</v>
      </c>
      <c r="AJ142" s="227">
        <f t="shared" ca="1" si="45"/>
        <v>2.9021100463796672</v>
      </c>
      <c r="AK142" s="227">
        <f t="shared" ca="1" si="45"/>
        <v>2.969418198247781</v>
      </c>
      <c r="AL142" s="227">
        <f t="shared" ca="1" si="45"/>
        <v>3.0367263501158943</v>
      </c>
      <c r="AM142" s="227">
        <f t="shared" ca="1" si="45"/>
        <v>3.3547508675422226</v>
      </c>
      <c r="AN142" s="227">
        <f t="shared" ca="1" si="45"/>
        <v>3.6714046392194626</v>
      </c>
      <c r="AO142" s="227">
        <f t="shared" ca="1" si="45"/>
        <v>4.3063113859478825</v>
      </c>
      <c r="AP142" s="227">
        <f t="shared" ca="1" si="45"/>
        <v>4.9409896750514433</v>
      </c>
    </row>
    <row r="143" spans="1:42">
      <c r="A143" s="61" t="str">
        <f>'[5]TS BYDem'!A82</f>
        <v>*</v>
      </c>
      <c r="B143" s="227" t="s">
        <v>295</v>
      </c>
      <c r="C143" s="227" t="s">
        <v>138</v>
      </c>
      <c r="D143" s="227" t="str">
        <f>'[5]TS BYDem'!D82</f>
        <v xml:space="preserve"> </v>
      </c>
      <c r="E143" s="227" t="s">
        <v>138</v>
      </c>
      <c r="F143" s="227" t="s">
        <v>138</v>
      </c>
      <c r="G143" s="227" t="s">
        <v>138</v>
      </c>
      <c r="H143" s="227" t="s">
        <v>138</v>
      </c>
      <c r="I143" s="227">
        <v>0</v>
      </c>
      <c r="J143" s="227" t="str">
        <f>INDEX('[5]TS BYDem'!$J$10:$J$203,MATCH(D143,'[5]TS BYDem'!$D$10:$D$203,0))</f>
        <v/>
      </c>
      <c r="K143" s="227" t="e">
        <f t="shared" ca="1" si="47"/>
        <v>#VALUE!</v>
      </c>
      <c r="L143" s="227" t="e">
        <f t="shared" ca="1" si="46"/>
        <v>#VALUE!</v>
      </c>
      <c r="M143" s="227" t="e">
        <f t="shared" ca="1" si="46"/>
        <v>#VALUE!</v>
      </c>
      <c r="N143" s="227" t="e">
        <f t="shared" ca="1" si="46"/>
        <v>#VALUE!</v>
      </c>
      <c r="O143" s="227" t="e">
        <f t="shared" ca="1" si="46"/>
        <v>#VALUE!</v>
      </c>
      <c r="P143" s="227" t="e">
        <f t="shared" ca="1" si="46"/>
        <v>#VALUE!</v>
      </c>
      <c r="Q143" s="227" t="e">
        <f t="shared" ca="1" si="46"/>
        <v>#VALUE!</v>
      </c>
      <c r="R143" s="227" t="e">
        <f t="shared" ca="1" si="46"/>
        <v>#VALUE!</v>
      </c>
      <c r="S143" s="227" t="e">
        <f t="shared" ca="1" si="46"/>
        <v>#VALUE!</v>
      </c>
      <c r="T143" s="227" t="e">
        <f t="shared" ca="1" si="46"/>
        <v>#VALUE!</v>
      </c>
      <c r="U143" s="227" t="e">
        <f t="shared" ca="1" si="46"/>
        <v>#VALUE!</v>
      </c>
      <c r="V143" s="227" t="e">
        <f t="shared" ca="1" si="46"/>
        <v>#VALUE!</v>
      </c>
      <c r="W143" s="227" t="e">
        <f t="shared" ca="1" si="46"/>
        <v>#VALUE!</v>
      </c>
      <c r="X143" s="227" t="e">
        <f t="shared" ca="1" si="46"/>
        <v>#VALUE!</v>
      </c>
      <c r="Y143" s="227" t="e">
        <f t="shared" ca="1" si="46"/>
        <v>#VALUE!</v>
      </c>
      <c r="Z143" s="227" t="e">
        <f t="shared" ca="1" si="46"/>
        <v>#VALUE!</v>
      </c>
      <c r="AA143" s="227" t="e">
        <f t="shared" ca="1" si="45"/>
        <v>#VALUE!</v>
      </c>
      <c r="AB143" s="227" t="e">
        <f t="shared" ca="1" si="45"/>
        <v>#VALUE!</v>
      </c>
      <c r="AC143" s="227" t="e">
        <f t="shared" ca="1" si="45"/>
        <v>#VALUE!</v>
      </c>
      <c r="AD143" s="227" t="e">
        <f t="shared" ca="1" si="45"/>
        <v>#VALUE!</v>
      </c>
      <c r="AE143" s="227" t="e">
        <f t="shared" ca="1" si="45"/>
        <v>#VALUE!</v>
      </c>
      <c r="AF143" s="227" t="e">
        <f t="shared" ca="1" si="45"/>
        <v>#VALUE!</v>
      </c>
      <c r="AG143" s="227" t="e">
        <f t="shared" ca="1" si="45"/>
        <v>#VALUE!</v>
      </c>
      <c r="AH143" s="227" t="e">
        <f t="shared" ca="1" si="45"/>
        <v>#VALUE!</v>
      </c>
      <c r="AI143" s="227" t="e">
        <f t="shared" ca="1" si="45"/>
        <v>#VALUE!</v>
      </c>
      <c r="AJ143" s="227" t="e">
        <f t="shared" ca="1" si="45"/>
        <v>#VALUE!</v>
      </c>
      <c r="AK143" s="227" t="e">
        <f t="shared" ca="1" si="45"/>
        <v>#VALUE!</v>
      </c>
      <c r="AL143" s="227" t="e">
        <f t="shared" ca="1" si="45"/>
        <v>#VALUE!</v>
      </c>
      <c r="AM143" s="227" t="e">
        <f t="shared" ca="1" si="45"/>
        <v>#VALUE!</v>
      </c>
      <c r="AN143" s="227" t="e">
        <f t="shared" ca="1" si="45"/>
        <v>#VALUE!</v>
      </c>
      <c r="AO143" s="227" t="e">
        <f t="shared" ca="1" si="45"/>
        <v>#VALUE!</v>
      </c>
      <c r="AP143" s="227" t="e">
        <f t="shared" ca="1" si="45"/>
        <v>#VALUE!</v>
      </c>
    </row>
    <row r="144" spans="1:42">
      <c r="A144" s="61" t="str">
        <f>'[5]TS BYDem'!A83</f>
        <v/>
      </c>
      <c r="B144" s="227" t="s">
        <v>295</v>
      </c>
      <c r="C144" s="227" t="s">
        <v>138</v>
      </c>
      <c r="D144" s="227" t="str">
        <f>'[5]TS BYDem'!D83</f>
        <v>ICPS</v>
      </c>
      <c r="E144" s="227" t="s">
        <v>138</v>
      </c>
      <c r="F144" s="227" t="s">
        <v>138</v>
      </c>
      <c r="G144" s="227" t="s">
        <v>138</v>
      </c>
      <c r="H144" s="227" t="s">
        <v>138</v>
      </c>
      <c r="I144" s="227">
        <v>0</v>
      </c>
      <c r="J144" s="227">
        <f>INDEX('[5]TS BYDem'!$J$10:$J$203,MATCH(D144,'[5]TS BYDem'!$D$10:$D$203,0))</f>
        <v>27.288197120140854</v>
      </c>
      <c r="K144" s="227">
        <f t="shared" ca="1" si="47"/>
        <v>27.825857398226642</v>
      </c>
      <c r="L144" s="227">
        <f t="shared" ca="1" si="46"/>
        <v>28.363517676312426</v>
      </c>
      <c r="M144" s="234">
        <f t="shared" ref="M144" si="48">O144</f>
        <v>20.990606000000003</v>
      </c>
      <c r="N144" s="234">
        <f t="shared" ref="N144" si="49">O144</f>
        <v>20.990606000000003</v>
      </c>
      <c r="O144" s="234">
        <f>INDEX('[5]TS BYDem'!$O$10:$O$203,MATCH(D144,'[5]TS BYDem'!$D$10:$D$203,0))</f>
        <v>20.990606000000003</v>
      </c>
      <c r="P144" s="227">
        <f t="shared" ca="1" si="46"/>
        <v>21.067939973857648</v>
      </c>
      <c r="Q144" s="227">
        <f t="shared" ca="1" si="46"/>
        <v>21.145273947715292</v>
      </c>
      <c r="R144" s="227">
        <f t="shared" ca="1" si="46"/>
        <v>21.222607921572944</v>
      </c>
      <c r="S144" s="227">
        <f t="shared" ca="1" si="46"/>
        <v>21.597449735124165</v>
      </c>
      <c r="T144" s="227">
        <f t="shared" ca="1" si="46"/>
        <v>21.972291548675383</v>
      </c>
      <c r="U144" s="227">
        <f t="shared" ca="1" si="46"/>
        <v>22.347133362226604</v>
      </c>
      <c r="V144" s="227">
        <f t="shared" ca="1" si="46"/>
        <v>22.721975175777821</v>
      </c>
      <c r="W144" s="227">
        <f t="shared" ca="1" si="46"/>
        <v>23.096816989329035</v>
      </c>
      <c r="X144" s="227">
        <f t="shared" ca="1" si="46"/>
        <v>23.663756219870528</v>
      </c>
      <c r="Y144" s="227">
        <f t="shared" ca="1" si="46"/>
        <v>24.230695450412025</v>
      </c>
      <c r="Z144" s="227">
        <f t="shared" ca="1" si="46"/>
        <v>24.797634680953518</v>
      </c>
      <c r="AA144" s="227">
        <f t="shared" ca="1" si="45"/>
        <v>25.364573911495011</v>
      </c>
      <c r="AB144" s="227">
        <f t="shared" ca="1" si="45"/>
        <v>25.931513142036511</v>
      </c>
      <c r="AC144" s="227">
        <f t="shared" ca="1" si="45"/>
        <v>26.574272230762457</v>
      </c>
      <c r="AD144" s="227">
        <f t="shared" ca="1" si="45"/>
        <v>27.217031319488402</v>
      </c>
      <c r="AE144" s="227">
        <f t="shared" ca="1" si="45"/>
        <v>27.859790408214344</v>
      </c>
      <c r="AF144" s="227">
        <f t="shared" ca="1" si="45"/>
        <v>28.50254949694029</v>
      </c>
      <c r="AG144" s="227">
        <f t="shared" ca="1" si="45"/>
        <v>29.145308585666239</v>
      </c>
      <c r="AH144" s="227">
        <f t="shared" ca="1" si="45"/>
        <v>29.871820445898699</v>
      </c>
      <c r="AI144" s="227">
        <f t="shared" ca="1" si="45"/>
        <v>30.598332306131155</v>
      </c>
      <c r="AJ144" s="227">
        <f t="shared" ca="1" si="45"/>
        <v>31.324844166363615</v>
      </c>
      <c r="AK144" s="227">
        <f t="shared" ca="1" si="45"/>
        <v>32.051356026596075</v>
      </c>
      <c r="AL144" s="227">
        <f t="shared" ca="1" si="45"/>
        <v>32.777867886828531</v>
      </c>
      <c r="AM144" s="227">
        <f t="shared" ca="1" si="45"/>
        <v>36.210566264993147</v>
      </c>
      <c r="AN144" s="227">
        <f t="shared" ca="1" si="45"/>
        <v>39.628469064666362</v>
      </c>
      <c r="AO144" s="227">
        <f t="shared" ca="1" si="45"/>
        <v>46.481536172252802</v>
      </c>
      <c r="AP144" s="227">
        <f t="shared" ca="1" si="45"/>
        <v>53.332137350090555</v>
      </c>
    </row>
    <row r="145" spans="1:42">
      <c r="A145" s="61" t="str">
        <f>'[5]TS BYDem'!A84</f>
        <v>*</v>
      </c>
      <c r="B145" s="227" t="s">
        <v>295</v>
      </c>
      <c r="C145" s="227" t="s">
        <v>138</v>
      </c>
      <c r="D145" s="227" t="str">
        <f>'[5]TS BYDem'!D84</f>
        <v>ICPS</v>
      </c>
      <c r="E145" s="227" t="s">
        <v>138</v>
      </c>
      <c r="F145" s="227" t="s">
        <v>138</v>
      </c>
      <c r="G145" s="227" t="s">
        <v>138</v>
      </c>
      <c r="H145" s="227" t="s">
        <v>138</v>
      </c>
      <c r="I145" s="227">
        <v>0</v>
      </c>
      <c r="J145" s="227">
        <f>INDEX('[5]TS BYDem'!$J$10:$J$203,MATCH(D145,'[5]TS BYDem'!$D$10:$D$203,0))</f>
        <v>27.288197120140854</v>
      </c>
      <c r="K145" s="227">
        <f t="shared" ca="1" si="47"/>
        <v>27.825857398226642</v>
      </c>
      <c r="L145" s="227">
        <f t="shared" ca="1" si="46"/>
        <v>28.363517676312426</v>
      </c>
      <c r="M145" s="227">
        <f t="shared" ca="1" si="46"/>
        <v>28.901177954398211</v>
      </c>
      <c r="N145" s="227">
        <f t="shared" ca="1" si="46"/>
        <v>29.008446604111604</v>
      </c>
      <c r="O145" s="227">
        <f t="shared" ca="1" si="46"/>
        <v>29.115715253824998</v>
      </c>
      <c r="P145" s="227">
        <f t="shared" ca="1" si="46"/>
        <v>29.222983903538395</v>
      </c>
      <c r="Q145" s="227">
        <f t="shared" ca="1" si="46"/>
        <v>29.330252553251793</v>
      </c>
      <c r="R145" s="227">
        <f t="shared" ca="1" si="46"/>
        <v>29.4375212029652</v>
      </c>
      <c r="S145" s="227">
        <f t="shared" ca="1" si="46"/>
        <v>29.957457955081107</v>
      </c>
      <c r="T145" s="227">
        <f t="shared" ca="1" si="46"/>
        <v>30.477394707197014</v>
      </c>
      <c r="U145" s="227">
        <f t="shared" ca="1" si="46"/>
        <v>30.997331459312925</v>
      </c>
      <c r="V145" s="227">
        <f t="shared" ca="1" si="46"/>
        <v>31.517268211428831</v>
      </c>
      <c r="W145" s="227">
        <f t="shared" ca="1" si="46"/>
        <v>32.037204963544731</v>
      </c>
      <c r="X145" s="227">
        <f t="shared" ca="1" si="46"/>
        <v>32.823596800096226</v>
      </c>
      <c r="Y145" s="227">
        <f t="shared" ca="1" si="46"/>
        <v>33.609988636647721</v>
      </c>
      <c r="Z145" s="227">
        <f t="shared" ca="1" si="46"/>
        <v>34.396380473199216</v>
      </c>
      <c r="AA145" s="227">
        <f t="shared" ca="1" si="45"/>
        <v>35.18277230975071</v>
      </c>
      <c r="AB145" s="227">
        <f t="shared" ca="1" si="45"/>
        <v>35.969164146302212</v>
      </c>
      <c r="AC145" s="227">
        <f t="shared" ca="1" si="45"/>
        <v>36.860724428275617</v>
      </c>
      <c r="AD145" s="227">
        <f t="shared" ca="1" si="45"/>
        <v>37.752284710249022</v>
      </c>
      <c r="AE145" s="227">
        <f t="shared" ca="1" si="45"/>
        <v>38.643844992222427</v>
      </c>
      <c r="AF145" s="227">
        <f t="shared" ca="1" si="45"/>
        <v>39.535405274195831</v>
      </c>
      <c r="AG145" s="227">
        <f t="shared" ca="1" si="45"/>
        <v>40.426965556169243</v>
      </c>
      <c r="AH145" s="227">
        <f t="shared" ca="1" si="45"/>
        <v>41.434697893723239</v>
      </c>
      <c r="AI145" s="227">
        <f t="shared" ca="1" si="45"/>
        <v>42.442430231277235</v>
      </c>
      <c r="AJ145" s="227">
        <f t="shared" ca="1" si="45"/>
        <v>43.450162568831239</v>
      </c>
      <c r="AK145" s="227">
        <f t="shared" ca="1" si="45"/>
        <v>44.457894906385235</v>
      </c>
      <c r="AL145" s="227">
        <f t="shared" ca="1" si="45"/>
        <v>45.465627243939224</v>
      </c>
      <c r="AM145" s="227">
        <f t="shared" ca="1" si="45"/>
        <v>50.227065219141458</v>
      </c>
      <c r="AN145" s="227">
        <f t="shared" ca="1" si="45"/>
        <v>54.96798049717281</v>
      </c>
      <c r="AO145" s="227">
        <f t="shared" ca="1" si="45"/>
        <v>64.47375419993493</v>
      </c>
      <c r="AP145" s="227">
        <f t="shared" ca="1" si="45"/>
        <v>73.97610745316841</v>
      </c>
    </row>
    <row r="146" spans="1:42">
      <c r="A146" s="61" t="str">
        <f>'[5]TS BYDem'!A85</f>
        <v>*</v>
      </c>
      <c r="B146" s="227" t="s">
        <v>295</v>
      </c>
      <c r="C146" s="227" t="s">
        <v>138</v>
      </c>
      <c r="D146" s="227" t="str">
        <f>'[5]TS BYDem'!D85</f>
        <v>ICPS</v>
      </c>
      <c r="E146" s="227" t="s">
        <v>138</v>
      </c>
      <c r="F146" s="227" t="s">
        <v>138</v>
      </c>
      <c r="G146" s="227" t="s">
        <v>138</v>
      </c>
      <c r="H146" s="227" t="s">
        <v>138</v>
      </c>
      <c r="I146" s="227">
        <v>0</v>
      </c>
      <c r="J146" s="227">
        <f>INDEX('[5]TS BYDem'!$J$10:$J$203,MATCH(D146,'[5]TS BYDem'!$D$10:$D$203,0))</f>
        <v>27.288197120140854</v>
      </c>
      <c r="K146" s="227">
        <f t="shared" ca="1" si="47"/>
        <v>27.825857398226642</v>
      </c>
      <c r="L146" s="227">
        <f t="shared" ca="1" si="46"/>
        <v>28.363517676312426</v>
      </c>
      <c r="M146" s="227">
        <f t="shared" ca="1" si="46"/>
        <v>28.901177954398211</v>
      </c>
      <c r="N146" s="227">
        <f t="shared" ca="1" si="46"/>
        <v>29.008446604111604</v>
      </c>
      <c r="O146" s="227">
        <f t="shared" ca="1" si="46"/>
        <v>29.115715253824998</v>
      </c>
      <c r="P146" s="227">
        <f t="shared" ca="1" si="46"/>
        <v>29.222983903538395</v>
      </c>
      <c r="Q146" s="227">
        <f t="shared" ca="1" si="46"/>
        <v>29.330252553251793</v>
      </c>
      <c r="R146" s="227">
        <f t="shared" ca="1" si="46"/>
        <v>29.4375212029652</v>
      </c>
      <c r="S146" s="227">
        <f t="shared" ca="1" si="46"/>
        <v>29.957457955081107</v>
      </c>
      <c r="T146" s="227">
        <f t="shared" ca="1" si="46"/>
        <v>30.477394707197014</v>
      </c>
      <c r="U146" s="227">
        <f t="shared" ca="1" si="46"/>
        <v>30.997331459312925</v>
      </c>
      <c r="V146" s="227">
        <f t="shared" ca="1" si="46"/>
        <v>31.517268211428831</v>
      </c>
      <c r="W146" s="227">
        <f t="shared" ca="1" si="46"/>
        <v>32.037204963544731</v>
      </c>
      <c r="X146" s="227">
        <f t="shared" ca="1" si="46"/>
        <v>32.823596800096226</v>
      </c>
      <c r="Y146" s="227">
        <f t="shared" ca="1" si="46"/>
        <v>33.609988636647721</v>
      </c>
      <c r="Z146" s="227">
        <f t="shared" ca="1" si="46"/>
        <v>34.396380473199216</v>
      </c>
      <c r="AA146" s="227">
        <f t="shared" ca="1" si="45"/>
        <v>35.18277230975071</v>
      </c>
      <c r="AB146" s="227">
        <f t="shared" ca="1" si="45"/>
        <v>35.969164146302212</v>
      </c>
      <c r="AC146" s="227">
        <f t="shared" ca="1" si="45"/>
        <v>36.860724428275617</v>
      </c>
      <c r="AD146" s="227">
        <f t="shared" ca="1" si="45"/>
        <v>37.752284710249022</v>
      </c>
      <c r="AE146" s="227">
        <f t="shared" ca="1" si="45"/>
        <v>38.643844992222427</v>
      </c>
      <c r="AF146" s="227">
        <f t="shared" ca="1" si="45"/>
        <v>39.535405274195831</v>
      </c>
      <c r="AG146" s="227">
        <f t="shared" ca="1" si="45"/>
        <v>40.426965556169243</v>
      </c>
      <c r="AH146" s="227">
        <f t="shared" ca="1" si="45"/>
        <v>41.434697893723239</v>
      </c>
      <c r="AI146" s="227">
        <f t="shared" ca="1" si="45"/>
        <v>42.442430231277235</v>
      </c>
      <c r="AJ146" s="227">
        <f t="shared" ca="1" si="45"/>
        <v>43.450162568831239</v>
      </c>
      <c r="AK146" s="227">
        <f t="shared" ca="1" si="45"/>
        <v>44.457894906385235</v>
      </c>
      <c r="AL146" s="227">
        <f t="shared" ca="1" si="45"/>
        <v>45.465627243939224</v>
      </c>
      <c r="AM146" s="227">
        <f t="shared" ca="1" si="45"/>
        <v>50.227065219141458</v>
      </c>
      <c r="AN146" s="227">
        <f t="shared" ca="1" si="45"/>
        <v>54.96798049717281</v>
      </c>
      <c r="AO146" s="227">
        <f t="shared" ca="1" si="45"/>
        <v>64.47375419993493</v>
      </c>
      <c r="AP146" s="227">
        <f t="shared" ca="1" si="45"/>
        <v>73.97610745316841</v>
      </c>
    </row>
    <row r="147" spans="1:42">
      <c r="A147" s="61" t="str">
        <f>'[5]TS BYDem'!A86</f>
        <v>*</v>
      </c>
      <c r="B147" s="227" t="s">
        <v>295</v>
      </c>
      <c r="C147" s="227" t="s">
        <v>138</v>
      </c>
      <c r="D147" s="227" t="str">
        <f>'[5]TS BYDem'!D86</f>
        <v>ICPS</v>
      </c>
      <c r="E147" s="227" t="s">
        <v>138</v>
      </c>
      <c r="F147" s="227" t="s">
        <v>138</v>
      </c>
      <c r="G147" s="227" t="s">
        <v>138</v>
      </c>
      <c r="H147" s="227" t="s">
        <v>138</v>
      </c>
      <c r="I147" s="227">
        <v>0</v>
      </c>
      <c r="J147" s="227">
        <f>INDEX('[5]TS BYDem'!$J$10:$J$203,MATCH(D147,'[5]TS BYDem'!$D$10:$D$203,0))</f>
        <v>27.288197120140854</v>
      </c>
      <c r="K147" s="227">
        <f t="shared" ca="1" si="47"/>
        <v>27.825857398226642</v>
      </c>
      <c r="L147" s="227">
        <f t="shared" ca="1" si="46"/>
        <v>28.363517676312426</v>
      </c>
      <c r="M147" s="227">
        <f t="shared" ca="1" si="46"/>
        <v>28.901177954398211</v>
      </c>
      <c r="N147" s="227">
        <f t="shared" ca="1" si="46"/>
        <v>29.008446604111604</v>
      </c>
      <c r="O147" s="227">
        <f t="shared" ca="1" si="46"/>
        <v>29.115715253824998</v>
      </c>
      <c r="P147" s="227">
        <f t="shared" ca="1" si="46"/>
        <v>29.222983903538395</v>
      </c>
      <c r="Q147" s="227">
        <f t="shared" ca="1" si="46"/>
        <v>29.330252553251793</v>
      </c>
      <c r="R147" s="227">
        <f t="shared" ca="1" si="46"/>
        <v>29.4375212029652</v>
      </c>
      <c r="S147" s="227">
        <f t="shared" ca="1" si="46"/>
        <v>29.957457955081107</v>
      </c>
      <c r="T147" s="227">
        <f t="shared" ca="1" si="46"/>
        <v>30.477394707197014</v>
      </c>
      <c r="U147" s="227">
        <f t="shared" ca="1" si="46"/>
        <v>30.997331459312925</v>
      </c>
      <c r="V147" s="227">
        <f t="shared" ca="1" si="46"/>
        <v>31.517268211428831</v>
      </c>
      <c r="W147" s="227">
        <f t="shared" ca="1" si="46"/>
        <v>32.037204963544731</v>
      </c>
      <c r="X147" s="227">
        <f t="shared" ca="1" si="46"/>
        <v>32.823596800096226</v>
      </c>
      <c r="Y147" s="227">
        <f t="shared" ca="1" si="46"/>
        <v>33.609988636647721</v>
      </c>
      <c r="Z147" s="227">
        <f t="shared" ca="1" si="46"/>
        <v>34.396380473199216</v>
      </c>
      <c r="AA147" s="227">
        <f t="shared" ca="1" si="45"/>
        <v>35.18277230975071</v>
      </c>
      <c r="AB147" s="227">
        <f t="shared" ca="1" si="45"/>
        <v>35.969164146302212</v>
      </c>
      <c r="AC147" s="227">
        <f t="shared" ca="1" si="45"/>
        <v>36.860724428275617</v>
      </c>
      <c r="AD147" s="227">
        <f t="shared" ca="1" si="45"/>
        <v>37.752284710249022</v>
      </c>
      <c r="AE147" s="227">
        <f t="shared" ca="1" si="45"/>
        <v>38.643844992222427</v>
      </c>
      <c r="AF147" s="227">
        <f t="shared" ca="1" si="45"/>
        <v>39.535405274195831</v>
      </c>
      <c r="AG147" s="227">
        <f t="shared" ca="1" si="45"/>
        <v>40.426965556169243</v>
      </c>
      <c r="AH147" s="227">
        <f t="shared" ca="1" si="45"/>
        <v>41.434697893723239</v>
      </c>
      <c r="AI147" s="227">
        <f t="shared" ca="1" si="45"/>
        <v>42.442430231277235</v>
      </c>
      <c r="AJ147" s="227">
        <f t="shared" ca="1" si="45"/>
        <v>43.450162568831239</v>
      </c>
      <c r="AK147" s="227">
        <f t="shared" ca="1" si="45"/>
        <v>44.457894906385235</v>
      </c>
      <c r="AL147" s="227">
        <f t="shared" ca="1" si="45"/>
        <v>45.465627243939224</v>
      </c>
      <c r="AM147" s="227">
        <f t="shared" ca="1" si="45"/>
        <v>50.227065219141458</v>
      </c>
      <c r="AN147" s="227">
        <f t="shared" ca="1" si="45"/>
        <v>54.96798049717281</v>
      </c>
      <c r="AO147" s="227">
        <f t="shared" ca="1" si="45"/>
        <v>64.47375419993493</v>
      </c>
      <c r="AP147" s="227">
        <f t="shared" ca="1" si="45"/>
        <v>73.97610745316841</v>
      </c>
    </row>
    <row r="148" spans="1:42">
      <c r="A148" s="61" t="str">
        <f>'[5]TS BYDem'!A87</f>
        <v>*</v>
      </c>
      <c r="B148" s="227" t="s">
        <v>295</v>
      </c>
      <c r="C148" s="227" t="s">
        <v>138</v>
      </c>
      <c r="D148" s="227" t="str">
        <f>'[5]TS BYDem'!D87</f>
        <v>ICPS</v>
      </c>
      <c r="E148" s="227" t="s">
        <v>138</v>
      </c>
      <c r="F148" s="227" t="s">
        <v>138</v>
      </c>
      <c r="G148" s="227" t="s">
        <v>138</v>
      </c>
      <c r="H148" s="227" t="s">
        <v>138</v>
      </c>
      <c r="I148" s="227">
        <v>0</v>
      </c>
      <c r="J148" s="227">
        <f>INDEX('[5]TS BYDem'!$J$10:$J$203,MATCH(D148,'[5]TS BYDem'!$D$10:$D$203,0))</f>
        <v>27.288197120140854</v>
      </c>
      <c r="K148" s="227">
        <f t="shared" ca="1" si="47"/>
        <v>27.825857398226642</v>
      </c>
      <c r="L148" s="227">
        <f t="shared" ca="1" si="46"/>
        <v>28.363517676312426</v>
      </c>
      <c r="M148" s="227">
        <f t="shared" ca="1" si="46"/>
        <v>28.901177954398211</v>
      </c>
      <c r="N148" s="227">
        <f t="shared" ca="1" si="46"/>
        <v>29.008446604111604</v>
      </c>
      <c r="O148" s="227">
        <f t="shared" ca="1" si="46"/>
        <v>29.115715253824998</v>
      </c>
      <c r="P148" s="227">
        <f t="shared" ca="1" si="46"/>
        <v>29.222983903538395</v>
      </c>
      <c r="Q148" s="227">
        <f t="shared" ca="1" si="46"/>
        <v>29.330252553251793</v>
      </c>
      <c r="R148" s="227">
        <f t="shared" ca="1" si="46"/>
        <v>29.4375212029652</v>
      </c>
      <c r="S148" s="227">
        <f t="shared" ca="1" si="46"/>
        <v>29.957457955081107</v>
      </c>
      <c r="T148" s="227">
        <f t="shared" ca="1" si="46"/>
        <v>30.477394707197014</v>
      </c>
      <c r="U148" s="227">
        <f t="shared" ca="1" si="46"/>
        <v>30.997331459312925</v>
      </c>
      <c r="V148" s="227">
        <f t="shared" ca="1" si="46"/>
        <v>31.517268211428831</v>
      </c>
      <c r="W148" s="227">
        <f t="shared" ca="1" si="46"/>
        <v>32.037204963544731</v>
      </c>
      <c r="X148" s="227">
        <f t="shared" ca="1" si="46"/>
        <v>32.823596800096226</v>
      </c>
      <c r="Y148" s="227">
        <f t="shared" ca="1" si="46"/>
        <v>33.609988636647721</v>
      </c>
      <c r="Z148" s="227">
        <f t="shared" ca="1" si="46"/>
        <v>34.396380473199216</v>
      </c>
      <c r="AA148" s="227">
        <f t="shared" ca="1" si="45"/>
        <v>35.18277230975071</v>
      </c>
      <c r="AB148" s="227">
        <f t="shared" ca="1" si="45"/>
        <v>35.969164146302212</v>
      </c>
      <c r="AC148" s="227">
        <f t="shared" ca="1" si="45"/>
        <v>36.860724428275617</v>
      </c>
      <c r="AD148" s="227">
        <f t="shared" ca="1" si="45"/>
        <v>37.752284710249022</v>
      </c>
      <c r="AE148" s="227">
        <f t="shared" ca="1" si="45"/>
        <v>38.643844992222427</v>
      </c>
      <c r="AF148" s="227">
        <f t="shared" ca="1" si="45"/>
        <v>39.535405274195831</v>
      </c>
      <c r="AG148" s="227">
        <f t="shared" ca="1" si="45"/>
        <v>40.426965556169243</v>
      </c>
      <c r="AH148" s="227">
        <f t="shared" ca="1" si="45"/>
        <v>41.434697893723239</v>
      </c>
      <c r="AI148" s="227">
        <f t="shared" ca="1" si="45"/>
        <v>42.442430231277235</v>
      </c>
      <c r="AJ148" s="227">
        <f t="shared" ca="1" si="45"/>
        <v>43.450162568831239</v>
      </c>
      <c r="AK148" s="227">
        <f t="shared" ca="1" si="45"/>
        <v>44.457894906385235</v>
      </c>
      <c r="AL148" s="227">
        <f t="shared" ca="1" si="45"/>
        <v>45.465627243939224</v>
      </c>
      <c r="AM148" s="227">
        <f t="shared" ca="1" si="45"/>
        <v>50.227065219141458</v>
      </c>
      <c r="AN148" s="227">
        <f t="shared" ca="1" si="45"/>
        <v>54.96798049717281</v>
      </c>
      <c r="AO148" s="227">
        <f t="shared" ca="1" si="45"/>
        <v>64.47375419993493</v>
      </c>
      <c r="AP148" s="227">
        <f t="shared" ca="1" si="45"/>
        <v>73.97610745316841</v>
      </c>
    </row>
    <row r="149" spans="1:42">
      <c r="A149" s="61" t="str">
        <f>'[5]TS BYDem'!A88</f>
        <v>*</v>
      </c>
      <c r="B149" s="227" t="s">
        <v>295</v>
      </c>
      <c r="C149" s="227" t="s">
        <v>138</v>
      </c>
      <c r="D149" s="227" t="str">
        <f>'[5]TS BYDem'!D88</f>
        <v>ICPS</v>
      </c>
      <c r="E149" s="227" t="s">
        <v>138</v>
      </c>
      <c r="F149" s="227" t="s">
        <v>138</v>
      </c>
      <c r="G149" s="227" t="s">
        <v>138</v>
      </c>
      <c r="H149" s="227" t="s">
        <v>138</v>
      </c>
      <c r="I149" s="227">
        <v>0</v>
      </c>
      <c r="J149" s="227">
        <f>INDEX('[5]TS BYDem'!$J$10:$J$203,MATCH(D149,'[5]TS BYDem'!$D$10:$D$203,0))</f>
        <v>27.288197120140854</v>
      </c>
      <c r="K149" s="227">
        <f t="shared" ca="1" si="47"/>
        <v>27.825857398226642</v>
      </c>
      <c r="L149" s="227">
        <f t="shared" ca="1" si="46"/>
        <v>28.363517676312426</v>
      </c>
      <c r="M149" s="227">
        <f t="shared" ca="1" si="46"/>
        <v>28.901177954398211</v>
      </c>
      <c r="N149" s="227">
        <f t="shared" ca="1" si="46"/>
        <v>29.008446604111604</v>
      </c>
      <c r="O149" s="227">
        <f t="shared" ca="1" si="46"/>
        <v>29.115715253824998</v>
      </c>
      <c r="P149" s="227">
        <f t="shared" ca="1" si="46"/>
        <v>29.222983903538395</v>
      </c>
      <c r="Q149" s="227">
        <f t="shared" ca="1" si="46"/>
        <v>29.330252553251793</v>
      </c>
      <c r="R149" s="227">
        <f t="shared" ca="1" si="46"/>
        <v>29.4375212029652</v>
      </c>
      <c r="S149" s="227">
        <f t="shared" ca="1" si="46"/>
        <v>29.957457955081107</v>
      </c>
      <c r="T149" s="227">
        <f t="shared" ca="1" si="46"/>
        <v>30.477394707197014</v>
      </c>
      <c r="U149" s="227">
        <f t="shared" ca="1" si="46"/>
        <v>30.997331459312925</v>
      </c>
      <c r="V149" s="227">
        <f t="shared" ca="1" si="46"/>
        <v>31.517268211428831</v>
      </c>
      <c r="W149" s="227">
        <f t="shared" ca="1" si="46"/>
        <v>32.037204963544731</v>
      </c>
      <c r="X149" s="227">
        <f t="shared" ca="1" si="46"/>
        <v>32.823596800096226</v>
      </c>
      <c r="Y149" s="227">
        <f t="shared" ca="1" si="46"/>
        <v>33.609988636647721</v>
      </c>
      <c r="Z149" s="227">
        <f t="shared" ca="1" si="46"/>
        <v>34.396380473199216</v>
      </c>
      <c r="AA149" s="227">
        <f t="shared" ca="1" si="45"/>
        <v>35.18277230975071</v>
      </c>
      <c r="AB149" s="227">
        <f t="shared" ca="1" si="45"/>
        <v>35.969164146302212</v>
      </c>
      <c r="AC149" s="227">
        <f t="shared" ca="1" si="45"/>
        <v>36.860724428275617</v>
      </c>
      <c r="AD149" s="227">
        <f t="shared" ca="1" si="45"/>
        <v>37.752284710249022</v>
      </c>
      <c r="AE149" s="227">
        <f t="shared" ca="1" si="45"/>
        <v>38.643844992222427</v>
      </c>
      <c r="AF149" s="227">
        <f t="shared" ca="1" si="45"/>
        <v>39.535405274195831</v>
      </c>
      <c r="AG149" s="227">
        <f t="shared" ca="1" si="45"/>
        <v>40.426965556169243</v>
      </c>
      <c r="AH149" s="227">
        <f t="shared" ca="1" si="45"/>
        <v>41.434697893723239</v>
      </c>
      <c r="AI149" s="227">
        <f t="shared" ca="1" si="45"/>
        <v>42.442430231277235</v>
      </c>
      <c r="AJ149" s="227">
        <f t="shared" ca="1" si="45"/>
        <v>43.450162568831239</v>
      </c>
      <c r="AK149" s="227">
        <f t="shared" ca="1" si="45"/>
        <v>44.457894906385235</v>
      </c>
      <c r="AL149" s="227">
        <f t="shared" ca="1" si="45"/>
        <v>45.465627243939224</v>
      </c>
      <c r="AM149" s="227">
        <f t="shared" ca="1" si="45"/>
        <v>50.227065219141458</v>
      </c>
      <c r="AN149" s="227">
        <f t="shared" ca="1" si="45"/>
        <v>54.96798049717281</v>
      </c>
      <c r="AO149" s="227">
        <f t="shared" ca="1" si="45"/>
        <v>64.47375419993493</v>
      </c>
      <c r="AP149" s="227">
        <f t="shared" ca="1" si="45"/>
        <v>73.97610745316841</v>
      </c>
    </row>
    <row r="150" spans="1:42">
      <c r="A150" s="61" t="str">
        <f>'[5]TS BYDem'!A89</f>
        <v>*</v>
      </c>
      <c r="B150" s="227" t="s">
        <v>295</v>
      </c>
      <c r="C150" s="227" t="s">
        <v>138</v>
      </c>
      <c r="D150" s="227">
        <f>'[5]TS BYDem'!D89</f>
        <v>0</v>
      </c>
      <c r="E150" s="227" t="s">
        <v>138</v>
      </c>
      <c r="F150" s="227" t="s">
        <v>138</v>
      </c>
      <c r="G150" s="227" t="s">
        <v>138</v>
      </c>
      <c r="H150" s="227" t="s">
        <v>138</v>
      </c>
      <c r="I150" s="227">
        <v>0</v>
      </c>
      <c r="J150" s="227" t="str">
        <f>INDEX('[5]TS BYDem'!$J$10:$J$203,MATCH(D150,'[5]TS BYDem'!$D$10:$D$203,0))</f>
        <v/>
      </c>
      <c r="K150" s="227" t="e">
        <f t="shared" ca="1" si="47"/>
        <v>#VALUE!</v>
      </c>
      <c r="L150" s="227" t="e">
        <f t="shared" ca="1" si="46"/>
        <v>#VALUE!</v>
      </c>
      <c r="M150" s="227" t="e">
        <f t="shared" ca="1" si="46"/>
        <v>#VALUE!</v>
      </c>
      <c r="N150" s="227" t="e">
        <f t="shared" ca="1" si="46"/>
        <v>#VALUE!</v>
      </c>
      <c r="O150" s="227" t="e">
        <f t="shared" ca="1" si="46"/>
        <v>#VALUE!</v>
      </c>
      <c r="P150" s="227" t="e">
        <f t="shared" ca="1" si="46"/>
        <v>#VALUE!</v>
      </c>
      <c r="Q150" s="227" t="e">
        <f t="shared" ca="1" si="46"/>
        <v>#VALUE!</v>
      </c>
      <c r="R150" s="227" t="e">
        <f t="shared" ca="1" si="46"/>
        <v>#VALUE!</v>
      </c>
      <c r="S150" s="227" t="e">
        <f t="shared" ca="1" si="46"/>
        <v>#VALUE!</v>
      </c>
      <c r="T150" s="227" t="e">
        <f t="shared" ca="1" si="46"/>
        <v>#VALUE!</v>
      </c>
      <c r="U150" s="227" t="e">
        <f t="shared" ca="1" si="46"/>
        <v>#VALUE!</v>
      </c>
      <c r="V150" s="227" t="e">
        <f t="shared" ca="1" si="46"/>
        <v>#VALUE!</v>
      </c>
      <c r="W150" s="227" t="e">
        <f t="shared" ca="1" si="46"/>
        <v>#VALUE!</v>
      </c>
      <c r="X150" s="227" t="e">
        <f t="shared" ca="1" si="46"/>
        <v>#VALUE!</v>
      </c>
      <c r="Y150" s="227" t="e">
        <f t="shared" ca="1" si="46"/>
        <v>#VALUE!</v>
      </c>
      <c r="Z150" s="227" t="e">
        <f t="shared" ca="1" si="46"/>
        <v>#VALUE!</v>
      </c>
      <c r="AA150" s="227" t="e">
        <f t="shared" ref="AA150:AP153" ca="1" si="50">AA$133/Z$133*Z150</f>
        <v>#VALUE!</v>
      </c>
      <c r="AB150" s="227" t="e">
        <f t="shared" ca="1" si="50"/>
        <v>#VALUE!</v>
      </c>
      <c r="AC150" s="227" t="e">
        <f t="shared" ca="1" si="50"/>
        <v>#VALUE!</v>
      </c>
      <c r="AD150" s="227" t="e">
        <f t="shared" ca="1" si="50"/>
        <v>#VALUE!</v>
      </c>
      <c r="AE150" s="227" t="e">
        <f t="shared" ca="1" si="50"/>
        <v>#VALUE!</v>
      </c>
      <c r="AF150" s="227" t="e">
        <f t="shared" ca="1" si="50"/>
        <v>#VALUE!</v>
      </c>
      <c r="AG150" s="227" t="e">
        <f t="shared" ca="1" si="50"/>
        <v>#VALUE!</v>
      </c>
      <c r="AH150" s="227" t="e">
        <f t="shared" ca="1" si="50"/>
        <v>#VALUE!</v>
      </c>
      <c r="AI150" s="227" t="e">
        <f t="shared" ca="1" si="50"/>
        <v>#VALUE!</v>
      </c>
      <c r="AJ150" s="227" t="e">
        <f t="shared" ca="1" si="50"/>
        <v>#VALUE!</v>
      </c>
      <c r="AK150" s="227" t="e">
        <f t="shared" ca="1" si="50"/>
        <v>#VALUE!</v>
      </c>
      <c r="AL150" s="227" t="e">
        <f t="shared" ca="1" si="50"/>
        <v>#VALUE!</v>
      </c>
      <c r="AM150" s="227" t="e">
        <f t="shared" ca="1" si="50"/>
        <v>#VALUE!</v>
      </c>
      <c r="AN150" s="227" t="e">
        <f t="shared" ca="1" si="50"/>
        <v>#VALUE!</v>
      </c>
      <c r="AO150" s="227" t="e">
        <f t="shared" ca="1" si="50"/>
        <v>#VALUE!</v>
      </c>
      <c r="AP150" s="227" t="e">
        <f t="shared" ca="1" si="50"/>
        <v>#VALUE!</v>
      </c>
    </row>
    <row r="151" spans="1:42">
      <c r="A151" s="61" t="str">
        <f>'[5]TS BYDem'!A90</f>
        <v/>
      </c>
      <c r="B151" s="227" t="s">
        <v>295</v>
      </c>
      <c r="C151" s="227" t="s">
        <v>138</v>
      </c>
      <c r="D151" s="227" t="str">
        <f>'[5]TS BYDem'!D90</f>
        <v>ICPT</v>
      </c>
      <c r="E151" s="227" t="s">
        <v>138</v>
      </c>
      <c r="F151" s="227" t="s">
        <v>138</v>
      </c>
      <c r="G151" s="227" t="s">
        <v>138</v>
      </c>
      <c r="H151" s="227" t="s">
        <v>138</v>
      </c>
      <c r="I151" s="227">
        <v>0</v>
      </c>
      <c r="J151" s="227">
        <f>INDEX('[5]TS BYDem'!$J$10:$J$203,MATCH(D151,'[5]TS BYDem'!$D$10:$D$203,0))</f>
        <v>39.004000030517574</v>
      </c>
      <c r="K151" s="227">
        <f t="shared" ca="1" si="47"/>
        <v>39.772497172726645</v>
      </c>
      <c r="L151" s="227">
        <f t="shared" ca="1" si="47"/>
        <v>40.540994314935716</v>
      </c>
      <c r="M151" s="234">
        <f t="shared" ref="M151" si="51">O151</f>
        <v>49.996000000000002</v>
      </c>
      <c r="N151" s="234">
        <f t="shared" ref="N151" si="52">O151</f>
        <v>49.996000000000002</v>
      </c>
      <c r="O151" s="234">
        <f>INDEX('[5]TS BYDem'!$O$10:$O$203,MATCH(D151,'[5]TS BYDem'!$D$10:$D$203,0))</f>
        <v>49.996000000000002</v>
      </c>
      <c r="P151" s="227">
        <f t="shared" ref="P151:Z153" ca="1" si="53">P$133/O$133*O151</f>
        <v>50.18019617599353</v>
      </c>
      <c r="Q151" s="227">
        <f t="shared" ca="1" si="53"/>
        <v>50.364392351987057</v>
      </c>
      <c r="R151" s="227">
        <f t="shared" ca="1" si="53"/>
        <v>50.548588527980606</v>
      </c>
      <c r="S151" s="227">
        <f t="shared" ca="1" si="53"/>
        <v>51.441397020994422</v>
      </c>
      <c r="T151" s="227">
        <f t="shared" ca="1" si="53"/>
        <v>52.334205514008239</v>
      </c>
      <c r="U151" s="227">
        <f t="shared" ca="1" si="53"/>
        <v>53.227014007022063</v>
      </c>
      <c r="V151" s="227">
        <f t="shared" ca="1" si="53"/>
        <v>54.11982250003588</v>
      </c>
      <c r="W151" s="227">
        <f t="shared" ca="1" si="53"/>
        <v>55.01263099304969</v>
      </c>
      <c r="X151" s="227">
        <f t="shared" ca="1" si="53"/>
        <v>56.362982372621701</v>
      </c>
      <c r="Y151" s="227">
        <f t="shared" ca="1" si="53"/>
        <v>57.713333752193719</v>
      </c>
      <c r="Z151" s="227">
        <f t="shared" ca="1" si="53"/>
        <v>59.06368513176573</v>
      </c>
      <c r="AA151" s="227">
        <f t="shared" ca="1" si="50"/>
        <v>60.414036511337741</v>
      </c>
      <c r="AB151" s="227">
        <f t="shared" ca="1" si="50"/>
        <v>61.764387890909767</v>
      </c>
      <c r="AC151" s="227">
        <f t="shared" ca="1" si="50"/>
        <v>63.295329084315156</v>
      </c>
      <c r="AD151" s="227">
        <f t="shared" ca="1" si="50"/>
        <v>64.826270277720553</v>
      </c>
      <c r="AE151" s="227">
        <f t="shared" ca="1" si="50"/>
        <v>66.357211471125936</v>
      </c>
      <c r="AF151" s="227">
        <f t="shared" ca="1" si="50"/>
        <v>67.888152664531333</v>
      </c>
      <c r="AG151" s="227">
        <f t="shared" ca="1" si="50"/>
        <v>69.41909385793673</v>
      </c>
      <c r="AH151" s="227">
        <f t="shared" ca="1" si="50"/>
        <v>71.14951969529379</v>
      </c>
      <c r="AI151" s="227">
        <f t="shared" ca="1" si="50"/>
        <v>72.879945532650837</v>
      </c>
      <c r="AJ151" s="227">
        <f t="shared" ca="1" si="50"/>
        <v>74.610371370007897</v>
      </c>
      <c r="AK151" s="227">
        <f t="shared" ca="1" si="50"/>
        <v>76.340797207364943</v>
      </c>
      <c r="AL151" s="227">
        <f t="shared" ca="1" si="50"/>
        <v>78.071223044721989</v>
      </c>
      <c r="AM151" s="227">
        <f t="shared" ca="1" si="50"/>
        <v>86.247318013810457</v>
      </c>
      <c r="AN151" s="227">
        <f t="shared" ca="1" si="50"/>
        <v>94.388172469011138</v>
      </c>
      <c r="AO151" s="227">
        <f t="shared" ca="1" si="50"/>
        <v>110.71099531228168</v>
      </c>
      <c r="AP151" s="227">
        <f t="shared" ca="1" si="50"/>
        <v>127.02794473657065</v>
      </c>
    </row>
    <row r="152" spans="1:42">
      <c r="A152" s="61" t="str">
        <f>'[5]TS BYDem'!A91</f>
        <v>*</v>
      </c>
      <c r="B152" s="227" t="s">
        <v>295</v>
      </c>
      <c r="C152" s="227" t="s">
        <v>138</v>
      </c>
      <c r="D152" s="227" t="str">
        <f>'[5]TS BYDem'!D91</f>
        <v>Useful Energy Service</v>
      </c>
      <c r="E152" s="227" t="s">
        <v>138</v>
      </c>
      <c r="F152" s="227" t="s">
        <v>138</v>
      </c>
      <c r="G152" s="227" t="s">
        <v>138</v>
      </c>
      <c r="H152" s="227" t="s">
        <v>138</v>
      </c>
      <c r="I152" s="227">
        <v>0</v>
      </c>
      <c r="J152" s="227" t="str">
        <f>INDEX('[5]TS BYDem'!$J$10:$J$203,MATCH(D152,'[5]TS BYDem'!$D$10:$D$203,0))</f>
        <v/>
      </c>
      <c r="K152" s="227" t="e">
        <f t="shared" ca="1" si="47"/>
        <v>#VALUE!</v>
      </c>
      <c r="L152" s="227" t="e">
        <f t="shared" ca="1" si="47"/>
        <v>#VALUE!</v>
      </c>
      <c r="M152" s="227" t="e">
        <f t="shared" ca="1" si="47"/>
        <v>#VALUE!</v>
      </c>
      <c r="N152" s="227" t="e">
        <f t="shared" ca="1" si="47"/>
        <v>#VALUE!</v>
      </c>
      <c r="O152" s="227" t="e">
        <f t="shared" ca="1" si="47"/>
        <v>#VALUE!</v>
      </c>
      <c r="P152" s="227" t="e">
        <f t="shared" ca="1" si="53"/>
        <v>#VALUE!</v>
      </c>
      <c r="Q152" s="227" t="e">
        <f t="shared" ca="1" si="53"/>
        <v>#VALUE!</v>
      </c>
      <c r="R152" s="227" t="e">
        <f t="shared" ca="1" si="53"/>
        <v>#VALUE!</v>
      </c>
      <c r="S152" s="227" t="e">
        <f t="shared" ca="1" si="53"/>
        <v>#VALUE!</v>
      </c>
      <c r="T152" s="227" t="e">
        <f t="shared" ca="1" si="53"/>
        <v>#VALUE!</v>
      </c>
      <c r="U152" s="227" t="e">
        <f t="shared" ca="1" si="53"/>
        <v>#VALUE!</v>
      </c>
      <c r="V152" s="227" t="e">
        <f t="shared" ca="1" si="53"/>
        <v>#VALUE!</v>
      </c>
      <c r="W152" s="227" t="e">
        <f t="shared" ca="1" si="53"/>
        <v>#VALUE!</v>
      </c>
      <c r="X152" s="227" t="e">
        <f t="shared" ca="1" si="53"/>
        <v>#VALUE!</v>
      </c>
      <c r="Y152" s="227" t="e">
        <f t="shared" ca="1" si="53"/>
        <v>#VALUE!</v>
      </c>
      <c r="Z152" s="227" t="e">
        <f t="shared" ca="1" si="53"/>
        <v>#VALUE!</v>
      </c>
      <c r="AA152" s="227" t="e">
        <f t="shared" ca="1" si="50"/>
        <v>#VALUE!</v>
      </c>
      <c r="AB152" s="227" t="e">
        <f t="shared" ca="1" si="50"/>
        <v>#VALUE!</v>
      </c>
      <c r="AC152" s="227" t="e">
        <f t="shared" ca="1" si="50"/>
        <v>#VALUE!</v>
      </c>
      <c r="AD152" s="227" t="e">
        <f t="shared" ca="1" si="50"/>
        <v>#VALUE!</v>
      </c>
      <c r="AE152" s="227" t="e">
        <f t="shared" ca="1" si="50"/>
        <v>#VALUE!</v>
      </c>
      <c r="AF152" s="227" t="e">
        <f t="shared" ca="1" si="50"/>
        <v>#VALUE!</v>
      </c>
      <c r="AG152" s="227" t="e">
        <f t="shared" ca="1" si="50"/>
        <v>#VALUE!</v>
      </c>
      <c r="AH152" s="227" t="e">
        <f t="shared" ca="1" si="50"/>
        <v>#VALUE!</v>
      </c>
      <c r="AI152" s="227" t="e">
        <f t="shared" ca="1" si="50"/>
        <v>#VALUE!</v>
      </c>
      <c r="AJ152" s="227" t="e">
        <f t="shared" ca="1" si="50"/>
        <v>#VALUE!</v>
      </c>
      <c r="AK152" s="227" t="e">
        <f t="shared" ca="1" si="50"/>
        <v>#VALUE!</v>
      </c>
      <c r="AL152" s="227" t="e">
        <f t="shared" ca="1" si="50"/>
        <v>#VALUE!</v>
      </c>
      <c r="AM152" s="227" t="e">
        <f t="shared" ca="1" si="50"/>
        <v>#VALUE!</v>
      </c>
      <c r="AN152" s="227" t="e">
        <f t="shared" ca="1" si="50"/>
        <v>#VALUE!</v>
      </c>
      <c r="AO152" s="227" t="e">
        <f t="shared" ca="1" si="50"/>
        <v>#VALUE!</v>
      </c>
      <c r="AP152" s="227" t="e">
        <f t="shared" ca="1" si="50"/>
        <v>#VALUE!</v>
      </c>
    </row>
    <row r="153" spans="1:42">
      <c r="A153" s="61" t="str">
        <f>'[5]TS BYDem'!A92</f>
        <v>*</v>
      </c>
      <c r="B153" s="227" t="s">
        <v>295</v>
      </c>
      <c r="C153" s="227" t="s">
        <v>138</v>
      </c>
      <c r="D153" s="227">
        <f>'[5]TS BYDem'!D92</f>
        <v>0</v>
      </c>
      <c r="E153" s="227" t="s">
        <v>138</v>
      </c>
      <c r="F153" s="227" t="s">
        <v>138</v>
      </c>
      <c r="G153" s="227" t="s">
        <v>138</v>
      </c>
      <c r="H153" s="227" t="s">
        <v>138</v>
      </c>
      <c r="I153" s="227">
        <v>0</v>
      </c>
      <c r="J153" s="227" t="str">
        <f>INDEX('[5]TS BYDem'!$J$10:$J$203,MATCH(D153,'[5]TS BYDem'!$D$10:$D$203,0))</f>
        <v/>
      </c>
      <c r="K153" s="227" t="e">
        <f t="shared" ca="1" si="47"/>
        <v>#VALUE!</v>
      </c>
      <c r="L153" s="227" t="e">
        <f t="shared" ca="1" si="47"/>
        <v>#VALUE!</v>
      </c>
      <c r="M153" s="227" t="e">
        <f t="shared" ca="1" si="47"/>
        <v>#VALUE!</v>
      </c>
      <c r="N153" s="227" t="e">
        <f t="shared" ca="1" si="47"/>
        <v>#VALUE!</v>
      </c>
      <c r="O153" s="227" t="e">
        <f t="shared" ca="1" si="47"/>
        <v>#VALUE!</v>
      </c>
      <c r="P153" s="227" t="e">
        <f t="shared" ca="1" si="53"/>
        <v>#VALUE!</v>
      </c>
      <c r="Q153" s="227" t="e">
        <f t="shared" ca="1" si="53"/>
        <v>#VALUE!</v>
      </c>
      <c r="R153" s="227" t="e">
        <f t="shared" ca="1" si="53"/>
        <v>#VALUE!</v>
      </c>
      <c r="S153" s="227" t="e">
        <f t="shared" ca="1" si="53"/>
        <v>#VALUE!</v>
      </c>
      <c r="T153" s="227" t="e">
        <f t="shared" ca="1" si="53"/>
        <v>#VALUE!</v>
      </c>
      <c r="U153" s="227" t="e">
        <f t="shared" ca="1" si="53"/>
        <v>#VALUE!</v>
      </c>
      <c r="V153" s="227" t="e">
        <f t="shared" ca="1" si="53"/>
        <v>#VALUE!</v>
      </c>
      <c r="W153" s="227" t="e">
        <f t="shared" ca="1" si="53"/>
        <v>#VALUE!</v>
      </c>
      <c r="X153" s="227" t="e">
        <f t="shared" ca="1" si="53"/>
        <v>#VALUE!</v>
      </c>
      <c r="Y153" s="227" t="e">
        <f t="shared" ca="1" si="53"/>
        <v>#VALUE!</v>
      </c>
      <c r="Z153" s="227" t="e">
        <f t="shared" ca="1" si="53"/>
        <v>#VALUE!</v>
      </c>
      <c r="AA153" s="227" t="e">
        <f t="shared" ca="1" si="50"/>
        <v>#VALUE!</v>
      </c>
      <c r="AB153" s="227" t="e">
        <f t="shared" ca="1" si="50"/>
        <v>#VALUE!</v>
      </c>
      <c r="AC153" s="227" t="e">
        <f t="shared" ca="1" si="50"/>
        <v>#VALUE!</v>
      </c>
      <c r="AD153" s="227" t="e">
        <f t="shared" ca="1" si="50"/>
        <v>#VALUE!</v>
      </c>
      <c r="AE153" s="227" t="e">
        <f t="shared" ca="1" si="50"/>
        <v>#VALUE!</v>
      </c>
      <c r="AF153" s="227" t="e">
        <f t="shared" ca="1" si="50"/>
        <v>#VALUE!</v>
      </c>
      <c r="AG153" s="227" t="e">
        <f t="shared" ca="1" si="50"/>
        <v>#VALUE!</v>
      </c>
      <c r="AH153" s="227" t="e">
        <f t="shared" ca="1" si="50"/>
        <v>#VALUE!</v>
      </c>
      <c r="AI153" s="227" t="e">
        <f t="shared" ca="1" si="50"/>
        <v>#VALUE!</v>
      </c>
      <c r="AJ153" s="227" t="e">
        <f t="shared" ca="1" si="50"/>
        <v>#VALUE!</v>
      </c>
      <c r="AK153" s="227" t="e">
        <f t="shared" ca="1" si="50"/>
        <v>#VALUE!</v>
      </c>
      <c r="AL153" s="227" t="e">
        <f t="shared" ca="1" si="50"/>
        <v>#VALUE!</v>
      </c>
      <c r="AM153" s="227" t="e">
        <f t="shared" ca="1" si="50"/>
        <v>#VALUE!</v>
      </c>
      <c r="AN153" s="227" t="e">
        <f t="shared" ca="1" si="50"/>
        <v>#VALUE!</v>
      </c>
      <c r="AO153" s="227" t="e">
        <f t="shared" ca="1" si="50"/>
        <v>#VALUE!</v>
      </c>
      <c r="AP153" s="227" t="e">
        <f t="shared" ca="1" si="50"/>
        <v>#VALUE!</v>
      </c>
    </row>
    <row r="154" spans="1:42" s="5" customFormat="1">
      <c r="A154" s="61" t="str">
        <f>'[5]TS BYDem'!A89</f>
        <v>*</v>
      </c>
      <c r="B154" s="5">
        <f>B133+1</f>
        <v>5</v>
      </c>
      <c r="C154" s="3" t="str">
        <f ca="1">OFFSET($C$9,$B154,0)</f>
        <v>Precious &amp; Non-Ferrous metals</v>
      </c>
      <c r="D154" s="3" t="str">
        <f ca="1">OFFSET($B$9,$B154,0)</f>
        <v>NF</v>
      </c>
      <c r="J154" s="5">
        <f ca="1">SUMIF($B$10:$B$22,$D154,J$10:J$22)*SUMIF($B$10:$B$22,$D154,J$41:J$53)</f>
        <v>3.9536166617103368E-3</v>
      </c>
      <c r="K154" s="5">
        <f t="shared" ref="K154:AP154" ca="1" si="54">SUMIF($B$10:$B$22,$D154,K$10:K$22)*SUMIF($B$10:$B$22,$D154,K$41:K$53)</f>
        <v>3.726724150551529E-3</v>
      </c>
      <c r="L154" s="5">
        <f t="shared" ca="1" si="54"/>
        <v>3.4998316393927212E-3</v>
      </c>
      <c r="M154" s="5">
        <f t="shared" ca="1" si="54"/>
        <v>3.272939128233913E-3</v>
      </c>
      <c r="N154" s="5">
        <f t="shared" ca="1" si="54"/>
        <v>3.2338771161803232E-3</v>
      </c>
      <c r="O154" s="5">
        <f t="shared" ca="1" si="54"/>
        <v>3.1948151041267334E-3</v>
      </c>
      <c r="P154" s="5">
        <f t="shared" ca="1" si="54"/>
        <v>3.1557530920731437E-3</v>
      </c>
      <c r="Q154" s="5">
        <f t="shared" ca="1" si="54"/>
        <v>3.1166910800195539E-3</v>
      </c>
      <c r="R154" s="5">
        <f t="shared" ca="1" si="54"/>
        <v>3.0776290679659633E-3</v>
      </c>
      <c r="S154" s="5">
        <f t="shared" ca="1" si="54"/>
        <v>3.0532569674793552E-3</v>
      </c>
      <c r="T154" s="5">
        <f t="shared" ca="1" si="54"/>
        <v>3.028884866992747E-3</v>
      </c>
      <c r="U154" s="5">
        <f t="shared" ca="1" si="54"/>
        <v>3.0045127665061389E-3</v>
      </c>
      <c r="V154" s="5">
        <f t="shared" ca="1" si="54"/>
        <v>2.9801406660195308E-3</v>
      </c>
      <c r="W154" s="5">
        <f t="shared" ca="1" si="54"/>
        <v>2.9557685655329231E-3</v>
      </c>
      <c r="X154" s="5">
        <f t="shared" ca="1" si="54"/>
        <v>3.0918091752045727E-3</v>
      </c>
      <c r="Y154" s="5">
        <f t="shared" ca="1" si="54"/>
        <v>3.2278497848762223E-3</v>
      </c>
      <c r="Z154" s="5">
        <f t="shared" ca="1" si="54"/>
        <v>3.3638903945478718E-3</v>
      </c>
      <c r="AA154" s="5">
        <f t="shared" ca="1" si="54"/>
        <v>3.4999310042195214E-3</v>
      </c>
      <c r="AB154" s="5">
        <f t="shared" ca="1" si="54"/>
        <v>3.6359716138911714E-3</v>
      </c>
      <c r="AC154" s="5">
        <f t="shared" ca="1" si="54"/>
        <v>3.7187473713401597E-3</v>
      </c>
      <c r="AD154" s="5">
        <f t="shared" ca="1" si="54"/>
        <v>3.801523128789148E-3</v>
      </c>
      <c r="AE154" s="5">
        <f t="shared" ca="1" si="54"/>
        <v>3.8842988862381363E-3</v>
      </c>
      <c r="AF154" s="5">
        <f t="shared" ca="1" si="54"/>
        <v>3.9670746436871246E-3</v>
      </c>
      <c r="AG154" s="5">
        <f t="shared" ca="1" si="54"/>
        <v>4.049850401136112E-3</v>
      </c>
      <c r="AH154" s="5">
        <f t="shared" ca="1" si="54"/>
        <v>4.1475837548706467E-3</v>
      </c>
      <c r="AI154" s="5">
        <f t="shared" ca="1" si="54"/>
        <v>4.2453171086051815E-3</v>
      </c>
      <c r="AJ154" s="5">
        <f t="shared" ca="1" si="54"/>
        <v>4.3430504623397162E-3</v>
      </c>
      <c r="AK154" s="5">
        <f t="shared" ca="1" si="54"/>
        <v>4.4407838160742509E-3</v>
      </c>
      <c r="AL154" s="5">
        <f t="shared" ca="1" si="54"/>
        <v>4.5385171698087848E-3</v>
      </c>
      <c r="AM154" s="5">
        <f t="shared" ca="1" si="54"/>
        <v>4.6856982918221692E-3</v>
      </c>
      <c r="AN154" s="5">
        <f t="shared" ca="1" si="54"/>
        <v>4.904578405206611E-3</v>
      </c>
      <c r="AO154" s="5">
        <f t="shared" ca="1" si="54"/>
        <v>5.2586898087092632E-3</v>
      </c>
      <c r="AP154" s="5">
        <f t="shared" ca="1" si="54"/>
        <v>5.6247510441070903E-3</v>
      </c>
    </row>
    <row r="155" spans="1:42">
      <c r="A155" s="61" t="str">
        <f>'[5]TS BYDem'!A94</f>
        <v/>
      </c>
      <c r="B155" s="227" t="s">
        <v>295</v>
      </c>
      <c r="C155" s="227" t="s">
        <v>138</v>
      </c>
      <c r="D155" s="227" t="str">
        <f>'[5]TS BYDem'!D94</f>
        <v>INFK</v>
      </c>
      <c r="E155" s="227" t="s">
        <v>138</v>
      </c>
      <c r="F155" s="227" t="s">
        <v>138</v>
      </c>
      <c r="G155" s="227" t="s">
        <v>138</v>
      </c>
      <c r="H155" s="227" t="s">
        <v>138</v>
      </c>
      <c r="I155" s="227">
        <v>0</v>
      </c>
      <c r="J155" s="227">
        <f>INDEX('[5]TS BYDem'!$J$10:$J$203,MATCH(D155,'[5]TS BYDem'!$D$10:$D$203,0))</f>
        <v>0.66789588210349726</v>
      </c>
      <c r="K155" s="227">
        <f ca="1">K$154/J$154*J155</f>
        <v>0.62956627484776173</v>
      </c>
      <c r="L155" s="227">
        <f t="shared" ref="L155:AP164" ca="1" si="55">L$154/K$154*K155</f>
        <v>0.5912366675920262</v>
      </c>
      <c r="M155" s="234">
        <f t="shared" ref="M155:M163" si="56">O155</f>
        <v>0.54078999999999999</v>
      </c>
      <c r="N155" s="234">
        <f t="shared" ref="N155:N163" si="57">O155</f>
        <v>0.54078999999999999</v>
      </c>
      <c r="O155" s="234">
        <f>INDEX('[5]TS BYDem'!$O$10:$O$203,MATCH(D155,'[5]TS BYDem'!$D$10:$D$203,0))</f>
        <v>0.54078999999999999</v>
      </c>
      <c r="P155" s="227">
        <f t="shared" ca="1" si="55"/>
        <v>0.53417792862498537</v>
      </c>
      <c r="Q155" s="227">
        <f t="shared" ca="1" si="55"/>
        <v>0.52756585724997074</v>
      </c>
      <c r="R155" s="227">
        <f t="shared" ca="1" si="55"/>
        <v>0.520953785874956</v>
      </c>
      <c r="S155" s="227">
        <f t="shared" ca="1" si="55"/>
        <v>0.51682829260145546</v>
      </c>
      <c r="T155" s="227">
        <f t="shared" ca="1" si="55"/>
        <v>0.51270279932795493</v>
      </c>
      <c r="U155" s="227">
        <f t="shared" ca="1" si="55"/>
        <v>0.50857730605445439</v>
      </c>
      <c r="V155" s="227">
        <f t="shared" ca="1" si="55"/>
        <v>0.50445181278095386</v>
      </c>
      <c r="W155" s="227">
        <f t="shared" ca="1" si="55"/>
        <v>0.50032631950745343</v>
      </c>
      <c r="X155" s="227">
        <f t="shared" ca="1" si="55"/>
        <v>0.52335406881579427</v>
      </c>
      <c r="Y155" s="227">
        <f t="shared" ca="1" si="55"/>
        <v>0.54638181812413511</v>
      </c>
      <c r="Z155" s="227">
        <f t="shared" ca="1" si="55"/>
        <v>0.56940956743247606</v>
      </c>
      <c r="AA155" s="227">
        <f t="shared" ca="1" si="55"/>
        <v>0.59243731674081701</v>
      </c>
      <c r="AB155" s="227">
        <f t="shared" ca="1" si="55"/>
        <v>0.61546506604915796</v>
      </c>
      <c r="AC155" s="227">
        <f t="shared" ca="1" si="55"/>
        <v>0.62947661301255387</v>
      </c>
      <c r="AD155" s="227">
        <f t="shared" ca="1" si="55"/>
        <v>0.64348815997594977</v>
      </c>
      <c r="AE155" s="227">
        <f t="shared" ca="1" si="55"/>
        <v>0.65749970693934578</v>
      </c>
      <c r="AF155" s="227">
        <f t="shared" ca="1" si="55"/>
        <v>0.6715112539027418</v>
      </c>
      <c r="AG155" s="227">
        <f t="shared" ca="1" si="55"/>
        <v>0.68552280086613759</v>
      </c>
      <c r="AH155" s="227">
        <f t="shared" ca="1" si="55"/>
        <v>0.70206623722895833</v>
      </c>
      <c r="AI155" s="227">
        <f t="shared" ca="1" si="55"/>
        <v>0.71860967359177896</v>
      </c>
      <c r="AJ155" s="227">
        <f t="shared" ca="1" si="55"/>
        <v>0.7351531099545997</v>
      </c>
      <c r="AK155" s="227">
        <f t="shared" ca="1" si="55"/>
        <v>0.75169654631742044</v>
      </c>
      <c r="AL155" s="227">
        <f t="shared" ca="1" si="55"/>
        <v>0.76823998268024096</v>
      </c>
      <c r="AM155" s="227">
        <f t="shared" ca="1" si="55"/>
        <v>0.7931534992311069</v>
      </c>
      <c r="AN155" s="227">
        <f t="shared" ca="1" si="55"/>
        <v>0.8302035859056931</v>
      </c>
      <c r="AO155" s="227">
        <f t="shared" ca="1" si="55"/>
        <v>0.89014442744385891</v>
      </c>
      <c r="AP155" s="227">
        <f t="shared" ca="1" si="55"/>
        <v>0.95210803066931127</v>
      </c>
    </row>
    <row r="156" spans="1:42">
      <c r="A156" s="61" t="str">
        <f>'[5]TS BYDem'!A95</f>
        <v/>
      </c>
      <c r="B156" s="227" t="s">
        <v>295</v>
      </c>
      <c r="C156" s="227" t="s">
        <v>138</v>
      </c>
      <c r="D156" s="227" t="str">
        <f>'[5]TS BYDem'!D95</f>
        <v>INFA</v>
      </c>
      <c r="E156" s="227" t="s">
        <v>138</v>
      </c>
      <c r="F156" s="227" t="s">
        <v>138</v>
      </c>
      <c r="G156" s="227" t="s">
        <v>138</v>
      </c>
      <c r="H156" s="227" t="s">
        <v>138</v>
      </c>
      <c r="I156" s="227">
        <v>0</v>
      </c>
      <c r="J156" s="227">
        <f>INDEX('[5]TS BYDem'!$J$10:$J$203,MATCH(D156,'[5]TS BYDem'!$D$10:$D$203,0))</f>
        <v>0</v>
      </c>
      <c r="K156" s="227">
        <f t="shared" ref="K156:N172" ca="1" si="58">K$154/J$154*J156</f>
        <v>0</v>
      </c>
      <c r="L156" s="227">
        <f t="shared" ca="1" si="55"/>
        <v>0</v>
      </c>
      <c r="M156" s="234">
        <f t="shared" si="56"/>
        <v>0</v>
      </c>
      <c r="N156" s="234">
        <f t="shared" si="57"/>
        <v>0</v>
      </c>
      <c r="O156" s="234">
        <f>INDEX('[5]TS BYDem'!$O$10:$O$203,MATCH(D156,'[5]TS BYDem'!$D$10:$D$203,0))</f>
        <v>0</v>
      </c>
      <c r="P156" s="227">
        <f t="shared" ca="1" si="55"/>
        <v>0</v>
      </c>
      <c r="Q156" s="227">
        <f t="shared" ca="1" si="55"/>
        <v>0</v>
      </c>
      <c r="R156" s="227">
        <f t="shared" ca="1" si="55"/>
        <v>0</v>
      </c>
      <c r="S156" s="227">
        <f t="shared" ca="1" si="55"/>
        <v>0</v>
      </c>
      <c r="T156" s="227">
        <f t="shared" ca="1" si="55"/>
        <v>0</v>
      </c>
      <c r="U156" s="227">
        <f t="shared" ca="1" si="55"/>
        <v>0</v>
      </c>
      <c r="V156" s="227">
        <f t="shared" ca="1" si="55"/>
        <v>0</v>
      </c>
      <c r="W156" s="227">
        <f t="shared" ca="1" si="55"/>
        <v>0</v>
      </c>
      <c r="X156" s="227">
        <f t="shared" ca="1" si="55"/>
        <v>0</v>
      </c>
      <c r="Y156" s="227">
        <f t="shared" ca="1" si="55"/>
        <v>0</v>
      </c>
      <c r="Z156" s="227">
        <f t="shared" ca="1" si="55"/>
        <v>0</v>
      </c>
      <c r="AA156" s="227">
        <f t="shared" ca="1" si="55"/>
        <v>0</v>
      </c>
      <c r="AB156" s="227">
        <f t="shared" ca="1" si="55"/>
        <v>0</v>
      </c>
      <c r="AC156" s="227">
        <f t="shared" ca="1" si="55"/>
        <v>0</v>
      </c>
      <c r="AD156" s="227">
        <f t="shared" ca="1" si="55"/>
        <v>0</v>
      </c>
      <c r="AE156" s="227">
        <f t="shared" ca="1" si="55"/>
        <v>0</v>
      </c>
      <c r="AF156" s="227">
        <f t="shared" ca="1" si="55"/>
        <v>0</v>
      </c>
      <c r="AG156" s="227">
        <f t="shared" ca="1" si="55"/>
        <v>0</v>
      </c>
      <c r="AH156" s="227">
        <f t="shared" ca="1" si="55"/>
        <v>0</v>
      </c>
      <c r="AI156" s="227">
        <f t="shared" ca="1" si="55"/>
        <v>0</v>
      </c>
      <c r="AJ156" s="227">
        <f t="shared" ca="1" si="55"/>
        <v>0</v>
      </c>
      <c r="AK156" s="227">
        <f t="shared" ca="1" si="55"/>
        <v>0</v>
      </c>
      <c r="AL156" s="227">
        <f t="shared" ca="1" si="55"/>
        <v>0</v>
      </c>
      <c r="AM156" s="227">
        <f t="shared" ca="1" si="55"/>
        <v>0</v>
      </c>
      <c r="AN156" s="227">
        <f t="shared" ca="1" si="55"/>
        <v>0</v>
      </c>
      <c r="AO156" s="227">
        <f t="shared" ca="1" si="55"/>
        <v>0</v>
      </c>
      <c r="AP156" s="227">
        <f t="shared" ca="1" si="55"/>
        <v>0</v>
      </c>
    </row>
    <row r="157" spans="1:42">
      <c r="A157" s="61" t="str">
        <f>'[5]TS BYDem'!A96</f>
        <v/>
      </c>
      <c r="B157" s="227" t="s">
        <v>295</v>
      </c>
      <c r="C157" s="227" t="s">
        <v>138</v>
      </c>
      <c r="D157" s="227" t="str">
        <f>'[5]TS BYDem'!D96</f>
        <v>INFL</v>
      </c>
      <c r="E157" s="227" t="s">
        <v>138</v>
      </c>
      <c r="F157" s="227" t="s">
        <v>138</v>
      </c>
      <c r="G157" s="227" t="s">
        <v>138</v>
      </c>
      <c r="H157" s="227" t="s">
        <v>138</v>
      </c>
      <c r="I157" s="227">
        <v>0</v>
      </c>
      <c r="J157" s="227">
        <f>INDEX('[5]TS BYDem'!$J$10:$J$203,MATCH(D157,'[5]TS BYDem'!$D$10:$D$203,0))</f>
        <v>0.20036876463104916</v>
      </c>
      <c r="K157" s="227">
        <f t="shared" ca="1" si="58"/>
        <v>0.18886988245432848</v>
      </c>
      <c r="L157" s="227">
        <f t="shared" ca="1" si="55"/>
        <v>0.1773710002776078</v>
      </c>
      <c r="M157" s="234">
        <f t="shared" si="56"/>
        <v>0.16223699999999999</v>
      </c>
      <c r="N157" s="234">
        <f t="shared" si="57"/>
        <v>0.16223699999999999</v>
      </c>
      <c r="O157" s="234">
        <f>INDEX('[5]TS BYDem'!$O$10:$O$203,MATCH(D157,'[5]TS BYDem'!$D$10:$D$203,0))</f>
        <v>0.16223699999999999</v>
      </c>
      <c r="P157" s="227">
        <f t="shared" ca="1" si="55"/>
        <v>0.16025337858749558</v>
      </c>
      <c r="Q157" s="227">
        <f t="shared" ca="1" si="55"/>
        <v>0.15826975717499117</v>
      </c>
      <c r="R157" s="227">
        <f t="shared" ca="1" si="55"/>
        <v>0.15628613576248673</v>
      </c>
      <c r="S157" s="227">
        <f t="shared" ca="1" si="55"/>
        <v>0.15504848778043656</v>
      </c>
      <c r="T157" s="227">
        <f t="shared" ca="1" si="55"/>
        <v>0.15381083979838639</v>
      </c>
      <c r="U157" s="227">
        <f t="shared" ca="1" si="55"/>
        <v>0.15257319181633622</v>
      </c>
      <c r="V157" s="227">
        <f t="shared" ca="1" si="55"/>
        <v>0.15133554383428605</v>
      </c>
      <c r="W157" s="227">
        <f t="shared" ca="1" si="55"/>
        <v>0.1500978958522359</v>
      </c>
      <c r="X157" s="227">
        <f t="shared" ca="1" si="55"/>
        <v>0.15700622064473815</v>
      </c>
      <c r="Y157" s="227">
        <f t="shared" ca="1" si="55"/>
        <v>0.16391454543724041</v>
      </c>
      <c r="Z157" s="227">
        <f t="shared" ca="1" si="55"/>
        <v>0.17082287022974268</v>
      </c>
      <c r="AA157" s="227">
        <f t="shared" ca="1" si="55"/>
        <v>0.17773119502224496</v>
      </c>
      <c r="AB157" s="227">
        <f t="shared" ca="1" si="55"/>
        <v>0.18463951981474724</v>
      </c>
      <c r="AC157" s="227">
        <f t="shared" ca="1" si="55"/>
        <v>0.188842983903766</v>
      </c>
      <c r="AD157" s="227">
        <f t="shared" ca="1" si="55"/>
        <v>0.19304644799278475</v>
      </c>
      <c r="AE157" s="227">
        <f t="shared" ca="1" si="55"/>
        <v>0.19724991208180354</v>
      </c>
      <c r="AF157" s="227">
        <f t="shared" ca="1" si="55"/>
        <v>0.20145337617082232</v>
      </c>
      <c r="AG157" s="227">
        <f t="shared" ca="1" si="55"/>
        <v>0.20565684025984104</v>
      </c>
      <c r="AH157" s="227">
        <f t="shared" ca="1" si="55"/>
        <v>0.21061987116868724</v>
      </c>
      <c r="AI157" s="227">
        <f t="shared" ca="1" si="55"/>
        <v>0.21558290207753344</v>
      </c>
      <c r="AJ157" s="227">
        <f t="shared" ca="1" si="55"/>
        <v>0.22054593298637967</v>
      </c>
      <c r="AK157" s="227">
        <f t="shared" ca="1" si="55"/>
        <v>0.2255089638952259</v>
      </c>
      <c r="AL157" s="227">
        <f t="shared" ca="1" si="55"/>
        <v>0.23047199480407204</v>
      </c>
      <c r="AM157" s="227">
        <f t="shared" ca="1" si="55"/>
        <v>0.23794604976933181</v>
      </c>
      <c r="AN157" s="227">
        <f t="shared" ca="1" si="55"/>
        <v>0.24906107577170766</v>
      </c>
      <c r="AO157" s="227">
        <f t="shared" ca="1" si="55"/>
        <v>0.26704332823315741</v>
      </c>
      <c r="AP157" s="227">
        <f t="shared" ca="1" si="55"/>
        <v>0.28563240920079308</v>
      </c>
    </row>
    <row r="158" spans="1:42">
      <c r="A158" s="61" t="str">
        <f>'[5]TS BYDem'!A97</f>
        <v/>
      </c>
      <c r="B158" s="227" t="s">
        <v>295</v>
      </c>
      <c r="C158" s="227" t="s">
        <v>138</v>
      </c>
      <c r="D158" s="227" t="str">
        <f>'[5]TS BYDem'!D97</f>
        <v>INFC</v>
      </c>
      <c r="E158" s="227" t="s">
        <v>138</v>
      </c>
      <c r="F158" s="227" t="s">
        <v>138</v>
      </c>
      <c r="G158" s="227" t="s">
        <v>138</v>
      </c>
      <c r="H158" s="227" t="s">
        <v>138</v>
      </c>
      <c r="I158" s="227">
        <v>0</v>
      </c>
      <c r="J158" s="227">
        <f>INDEX('[5]TS BYDem'!$J$10:$J$203,MATCH(D158,'[5]TS BYDem'!$D$10:$D$203,0))</f>
        <v>0</v>
      </c>
      <c r="K158" s="227">
        <f t="shared" ca="1" si="58"/>
        <v>0</v>
      </c>
      <c r="L158" s="227">
        <f t="shared" ca="1" si="55"/>
        <v>0</v>
      </c>
      <c r="M158" s="234">
        <f t="shared" si="56"/>
        <v>0</v>
      </c>
      <c r="N158" s="234">
        <f t="shared" si="57"/>
        <v>0</v>
      </c>
      <c r="O158" s="234">
        <f>INDEX('[5]TS BYDem'!$O$10:$O$203,MATCH(D158,'[5]TS BYDem'!$D$10:$D$203,0))</f>
        <v>0</v>
      </c>
      <c r="P158" s="227">
        <f t="shared" ca="1" si="55"/>
        <v>0</v>
      </c>
      <c r="Q158" s="227">
        <f t="shared" ca="1" si="55"/>
        <v>0</v>
      </c>
      <c r="R158" s="227">
        <f t="shared" ca="1" si="55"/>
        <v>0</v>
      </c>
      <c r="S158" s="227">
        <f t="shared" ca="1" si="55"/>
        <v>0</v>
      </c>
      <c r="T158" s="227">
        <f t="shared" ca="1" si="55"/>
        <v>0</v>
      </c>
      <c r="U158" s="227">
        <f t="shared" ca="1" si="55"/>
        <v>0</v>
      </c>
      <c r="V158" s="227">
        <f t="shared" ca="1" si="55"/>
        <v>0</v>
      </c>
      <c r="W158" s="227">
        <f t="shared" ca="1" si="55"/>
        <v>0</v>
      </c>
      <c r="X158" s="227">
        <f t="shared" ca="1" si="55"/>
        <v>0</v>
      </c>
      <c r="Y158" s="227">
        <f t="shared" ca="1" si="55"/>
        <v>0</v>
      </c>
      <c r="Z158" s="227">
        <f t="shared" ca="1" si="55"/>
        <v>0</v>
      </c>
      <c r="AA158" s="227">
        <f t="shared" ca="1" si="55"/>
        <v>0</v>
      </c>
      <c r="AB158" s="227">
        <f t="shared" ca="1" si="55"/>
        <v>0</v>
      </c>
      <c r="AC158" s="227">
        <f t="shared" ca="1" si="55"/>
        <v>0</v>
      </c>
      <c r="AD158" s="227">
        <f t="shared" ca="1" si="55"/>
        <v>0</v>
      </c>
      <c r="AE158" s="227">
        <f t="shared" ca="1" si="55"/>
        <v>0</v>
      </c>
      <c r="AF158" s="227">
        <f t="shared" ca="1" si="55"/>
        <v>0</v>
      </c>
      <c r="AG158" s="227">
        <f t="shared" ca="1" si="55"/>
        <v>0</v>
      </c>
      <c r="AH158" s="227">
        <f t="shared" ca="1" si="55"/>
        <v>0</v>
      </c>
      <c r="AI158" s="227">
        <f t="shared" ca="1" si="55"/>
        <v>0</v>
      </c>
      <c r="AJ158" s="227">
        <f t="shared" ca="1" si="55"/>
        <v>0</v>
      </c>
      <c r="AK158" s="227">
        <f t="shared" ca="1" si="55"/>
        <v>0</v>
      </c>
      <c r="AL158" s="227">
        <f t="shared" ca="1" si="55"/>
        <v>0</v>
      </c>
      <c r="AM158" s="227">
        <f t="shared" ca="1" si="55"/>
        <v>0</v>
      </c>
      <c r="AN158" s="227">
        <f t="shared" ca="1" si="55"/>
        <v>0</v>
      </c>
      <c r="AO158" s="227">
        <f t="shared" ca="1" si="55"/>
        <v>0</v>
      </c>
      <c r="AP158" s="227">
        <f t="shared" ca="1" si="55"/>
        <v>0</v>
      </c>
    </row>
    <row r="159" spans="1:42">
      <c r="A159" s="61" t="str">
        <f>'[5]TS BYDem'!A98</f>
        <v/>
      </c>
      <c r="B159" s="227" t="s">
        <v>295</v>
      </c>
      <c r="C159" s="227" t="s">
        <v>138</v>
      </c>
      <c r="D159" s="227" t="str">
        <f>'[5]TS BYDem'!D98</f>
        <v>INFH</v>
      </c>
      <c r="E159" s="227" t="s">
        <v>138</v>
      </c>
      <c r="F159" s="227" t="s">
        <v>138</v>
      </c>
      <c r="G159" s="227" t="s">
        <v>138</v>
      </c>
      <c r="H159" s="227" t="s">
        <v>138</v>
      </c>
      <c r="I159" s="227">
        <v>0</v>
      </c>
      <c r="J159" s="227">
        <f>INDEX('[5]TS BYDem'!$J$10:$J$203,MATCH(D159,'[5]TS BYDem'!$D$10:$D$203,0))</f>
        <v>0.60110629389314751</v>
      </c>
      <c r="K159" s="227">
        <f t="shared" ca="1" si="58"/>
        <v>0.56660964736298547</v>
      </c>
      <c r="L159" s="227">
        <f t="shared" ca="1" si="55"/>
        <v>0.53211300083282342</v>
      </c>
      <c r="M159" s="234">
        <f t="shared" si="56"/>
        <v>0.486711</v>
      </c>
      <c r="N159" s="234">
        <f t="shared" si="57"/>
        <v>0.486711</v>
      </c>
      <c r="O159" s="234">
        <f>INDEX('[5]TS BYDem'!$O$10:$O$203,MATCH(D159,'[5]TS BYDem'!$D$10:$D$203,0))</f>
        <v>0.486711</v>
      </c>
      <c r="P159" s="227">
        <f t="shared" ca="1" si="55"/>
        <v>0.48076013576248677</v>
      </c>
      <c r="Q159" s="227">
        <f t="shared" ca="1" si="55"/>
        <v>0.4748092715249736</v>
      </c>
      <c r="R159" s="227">
        <f t="shared" ca="1" si="55"/>
        <v>0.46885840728746031</v>
      </c>
      <c r="S159" s="227">
        <f t="shared" ca="1" si="55"/>
        <v>0.46514546334130979</v>
      </c>
      <c r="T159" s="227">
        <f t="shared" ca="1" si="55"/>
        <v>0.46143251939515928</v>
      </c>
      <c r="U159" s="227">
        <f t="shared" ca="1" si="55"/>
        <v>0.45771957544900876</v>
      </c>
      <c r="V159" s="227">
        <f t="shared" ca="1" si="55"/>
        <v>0.4540066315028583</v>
      </c>
      <c r="W159" s="227">
        <f t="shared" ca="1" si="55"/>
        <v>0.4502936875567079</v>
      </c>
      <c r="X159" s="227">
        <f t="shared" ca="1" si="55"/>
        <v>0.47101866193421466</v>
      </c>
      <c r="Y159" s="227">
        <f t="shared" ca="1" si="55"/>
        <v>0.49174363631172141</v>
      </c>
      <c r="Z159" s="227">
        <f t="shared" ca="1" si="55"/>
        <v>0.51246861068922822</v>
      </c>
      <c r="AA159" s="227">
        <f t="shared" ca="1" si="55"/>
        <v>0.53319358506673509</v>
      </c>
      <c r="AB159" s="227">
        <f t="shared" ca="1" si="55"/>
        <v>0.55391855944424195</v>
      </c>
      <c r="AC159" s="227">
        <f t="shared" ca="1" si="55"/>
        <v>0.56652895171129825</v>
      </c>
      <c r="AD159" s="227">
        <f t="shared" ca="1" si="55"/>
        <v>0.57913934397835454</v>
      </c>
      <c r="AE159" s="227">
        <f t="shared" ca="1" si="55"/>
        <v>0.59174973624541094</v>
      </c>
      <c r="AF159" s="227">
        <f t="shared" ca="1" si="55"/>
        <v>0.60436012851246734</v>
      </c>
      <c r="AG159" s="227">
        <f t="shared" ca="1" si="55"/>
        <v>0.61697052077952352</v>
      </c>
      <c r="AH159" s="227">
        <f t="shared" ca="1" si="55"/>
        <v>0.63185961350606212</v>
      </c>
      <c r="AI159" s="227">
        <f t="shared" ca="1" si="55"/>
        <v>0.64674870623260072</v>
      </c>
      <c r="AJ159" s="227">
        <f t="shared" ca="1" si="55"/>
        <v>0.66163779895913943</v>
      </c>
      <c r="AK159" s="227">
        <f t="shared" ca="1" si="55"/>
        <v>0.67652689168567814</v>
      </c>
      <c r="AL159" s="227">
        <f t="shared" ca="1" si="55"/>
        <v>0.69141598441221663</v>
      </c>
      <c r="AM159" s="227">
        <f t="shared" ca="1" si="55"/>
        <v>0.71383814930799594</v>
      </c>
      <c r="AN159" s="227">
        <f t="shared" ca="1" si="55"/>
        <v>0.74718322731512354</v>
      </c>
      <c r="AO159" s="227">
        <f t="shared" ca="1" si="55"/>
        <v>0.80112998469947283</v>
      </c>
      <c r="AP159" s="227">
        <f t="shared" ca="1" si="55"/>
        <v>0.85689722760237996</v>
      </c>
    </row>
    <row r="160" spans="1:42">
      <c r="A160" s="61" t="str">
        <f>'[5]TS BYDem'!A99</f>
        <v/>
      </c>
      <c r="B160" s="227" t="s">
        <v>295</v>
      </c>
      <c r="C160" s="227" t="s">
        <v>138</v>
      </c>
      <c r="D160" s="227" t="str">
        <f>'[5]TS BYDem'!D99</f>
        <v>INFP</v>
      </c>
      <c r="E160" s="227" t="s">
        <v>138</v>
      </c>
      <c r="F160" s="227" t="s">
        <v>138</v>
      </c>
      <c r="G160" s="227" t="s">
        <v>138</v>
      </c>
      <c r="H160" s="227" t="s">
        <v>138</v>
      </c>
      <c r="I160" s="227">
        <v>0</v>
      </c>
      <c r="J160" s="227">
        <f>INDEX('[5]TS BYDem'!$J$10:$J$203,MATCH(D160,'[5]TS BYDem'!$D$10:$D$203,0))</f>
        <v>0</v>
      </c>
      <c r="K160" s="227">
        <f t="shared" ca="1" si="58"/>
        <v>0</v>
      </c>
      <c r="L160" s="227">
        <f t="shared" ca="1" si="55"/>
        <v>0</v>
      </c>
      <c r="M160" s="234">
        <f t="shared" si="56"/>
        <v>0</v>
      </c>
      <c r="N160" s="234">
        <f t="shared" si="57"/>
        <v>0</v>
      </c>
      <c r="O160" s="234">
        <f>INDEX('[5]TS BYDem'!$O$10:$O$203,MATCH(D160,'[5]TS BYDem'!$D$10:$D$203,0))</f>
        <v>0</v>
      </c>
      <c r="P160" s="227">
        <f t="shared" ca="1" si="55"/>
        <v>0</v>
      </c>
      <c r="Q160" s="227">
        <f t="shared" ca="1" si="55"/>
        <v>0</v>
      </c>
      <c r="R160" s="227">
        <f t="shared" ca="1" si="55"/>
        <v>0</v>
      </c>
      <c r="S160" s="227">
        <f t="shared" ca="1" si="55"/>
        <v>0</v>
      </c>
      <c r="T160" s="227">
        <f t="shared" ca="1" si="55"/>
        <v>0</v>
      </c>
      <c r="U160" s="227">
        <f t="shared" ca="1" si="55"/>
        <v>0</v>
      </c>
      <c r="V160" s="227">
        <f t="shared" ca="1" si="55"/>
        <v>0</v>
      </c>
      <c r="W160" s="227">
        <f t="shared" ca="1" si="55"/>
        <v>0</v>
      </c>
      <c r="X160" s="227">
        <f t="shared" ca="1" si="55"/>
        <v>0</v>
      </c>
      <c r="Y160" s="227">
        <f t="shared" ca="1" si="55"/>
        <v>0</v>
      </c>
      <c r="Z160" s="227">
        <f t="shared" ca="1" si="55"/>
        <v>0</v>
      </c>
      <c r="AA160" s="227">
        <f t="shared" ca="1" si="55"/>
        <v>0</v>
      </c>
      <c r="AB160" s="227">
        <f t="shared" ca="1" si="55"/>
        <v>0</v>
      </c>
      <c r="AC160" s="227">
        <f t="shared" ca="1" si="55"/>
        <v>0</v>
      </c>
      <c r="AD160" s="227">
        <f t="shared" ca="1" si="55"/>
        <v>0</v>
      </c>
      <c r="AE160" s="227">
        <f t="shared" ca="1" si="55"/>
        <v>0</v>
      </c>
      <c r="AF160" s="227">
        <f t="shared" ca="1" si="55"/>
        <v>0</v>
      </c>
      <c r="AG160" s="227">
        <f t="shared" ca="1" si="55"/>
        <v>0</v>
      </c>
      <c r="AH160" s="227">
        <f t="shared" ca="1" si="55"/>
        <v>0</v>
      </c>
      <c r="AI160" s="227">
        <f t="shared" ca="1" si="55"/>
        <v>0</v>
      </c>
      <c r="AJ160" s="227">
        <f t="shared" ca="1" si="55"/>
        <v>0</v>
      </c>
      <c r="AK160" s="227">
        <f t="shared" ca="1" si="55"/>
        <v>0</v>
      </c>
      <c r="AL160" s="227">
        <f t="shared" ca="1" si="55"/>
        <v>0</v>
      </c>
      <c r="AM160" s="227">
        <f t="shared" ca="1" si="55"/>
        <v>0</v>
      </c>
      <c r="AN160" s="227">
        <f t="shared" ca="1" si="55"/>
        <v>0</v>
      </c>
      <c r="AO160" s="227">
        <f t="shared" ca="1" si="55"/>
        <v>0</v>
      </c>
      <c r="AP160" s="227">
        <f t="shared" ca="1" si="55"/>
        <v>0</v>
      </c>
    </row>
    <row r="161" spans="1:42">
      <c r="A161" s="61" t="str">
        <f>'[5]TS BYDem'!A100</f>
        <v/>
      </c>
      <c r="B161" s="227" t="s">
        <v>295</v>
      </c>
      <c r="C161" s="227" t="s">
        <v>138</v>
      </c>
      <c r="D161" s="227" t="str">
        <f>'[5]TS BYDem'!D100</f>
        <v>INFF</v>
      </c>
      <c r="E161" s="227" t="s">
        <v>138</v>
      </c>
      <c r="F161" s="227" t="s">
        <v>138</v>
      </c>
      <c r="G161" s="227" t="s">
        <v>138</v>
      </c>
      <c r="H161" s="227" t="s">
        <v>138</v>
      </c>
      <c r="I161" s="227">
        <v>0</v>
      </c>
      <c r="J161" s="227">
        <f>INDEX('[5]TS BYDem'!$J$10:$J$203,MATCH(D161,'[5]TS BYDem'!$D$10:$D$203,0))</f>
        <v>0</v>
      </c>
      <c r="K161" s="227">
        <f t="shared" ca="1" si="58"/>
        <v>0</v>
      </c>
      <c r="L161" s="227">
        <f t="shared" ca="1" si="55"/>
        <v>0</v>
      </c>
      <c r="M161" s="234">
        <f t="shared" si="56"/>
        <v>0</v>
      </c>
      <c r="N161" s="234">
        <f t="shared" si="57"/>
        <v>0</v>
      </c>
      <c r="O161" s="234">
        <f>INDEX('[5]TS BYDem'!$O$10:$O$203,MATCH(D161,'[5]TS BYDem'!$D$10:$D$203,0))</f>
        <v>0</v>
      </c>
      <c r="P161" s="227">
        <f t="shared" ca="1" si="55"/>
        <v>0</v>
      </c>
      <c r="Q161" s="227">
        <f t="shared" ca="1" si="55"/>
        <v>0</v>
      </c>
      <c r="R161" s="227">
        <f t="shared" ca="1" si="55"/>
        <v>0</v>
      </c>
      <c r="S161" s="227">
        <f t="shared" ca="1" si="55"/>
        <v>0</v>
      </c>
      <c r="T161" s="227">
        <f t="shared" ca="1" si="55"/>
        <v>0</v>
      </c>
      <c r="U161" s="227">
        <f t="shared" ca="1" si="55"/>
        <v>0</v>
      </c>
      <c r="V161" s="227">
        <f t="shared" ca="1" si="55"/>
        <v>0</v>
      </c>
      <c r="W161" s="227">
        <f t="shared" ca="1" si="55"/>
        <v>0</v>
      </c>
      <c r="X161" s="227">
        <f t="shared" ca="1" si="55"/>
        <v>0</v>
      </c>
      <c r="Y161" s="227">
        <f t="shared" ca="1" si="55"/>
        <v>0</v>
      </c>
      <c r="Z161" s="227">
        <f t="shared" ca="1" si="55"/>
        <v>0</v>
      </c>
      <c r="AA161" s="227">
        <f t="shared" ca="1" si="55"/>
        <v>0</v>
      </c>
      <c r="AB161" s="227">
        <f t="shared" ca="1" si="55"/>
        <v>0</v>
      </c>
      <c r="AC161" s="227">
        <f t="shared" ca="1" si="55"/>
        <v>0</v>
      </c>
      <c r="AD161" s="227">
        <f t="shared" ca="1" si="55"/>
        <v>0</v>
      </c>
      <c r="AE161" s="227">
        <f t="shared" ca="1" si="55"/>
        <v>0</v>
      </c>
      <c r="AF161" s="227">
        <f t="shared" ca="1" si="55"/>
        <v>0</v>
      </c>
      <c r="AG161" s="227">
        <f t="shared" ca="1" si="55"/>
        <v>0</v>
      </c>
      <c r="AH161" s="227">
        <f t="shared" ca="1" si="55"/>
        <v>0</v>
      </c>
      <c r="AI161" s="227">
        <f t="shared" ca="1" si="55"/>
        <v>0</v>
      </c>
      <c r="AJ161" s="227">
        <f t="shared" ca="1" si="55"/>
        <v>0</v>
      </c>
      <c r="AK161" s="227">
        <f t="shared" ca="1" si="55"/>
        <v>0</v>
      </c>
      <c r="AL161" s="227">
        <f t="shared" ca="1" si="55"/>
        <v>0</v>
      </c>
      <c r="AM161" s="227">
        <f t="shared" ca="1" si="55"/>
        <v>0</v>
      </c>
      <c r="AN161" s="227">
        <f t="shared" ca="1" si="55"/>
        <v>0</v>
      </c>
      <c r="AO161" s="227">
        <f t="shared" ca="1" si="55"/>
        <v>0</v>
      </c>
      <c r="AP161" s="227">
        <f t="shared" ca="1" si="55"/>
        <v>0</v>
      </c>
    </row>
    <row r="162" spans="1:42">
      <c r="A162" s="61" t="str">
        <f>'[5]TS BYDem'!A101</f>
        <v/>
      </c>
      <c r="B162" s="227" t="s">
        <v>295</v>
      </c>
      <c r="C162" s="227" t="s">
        <v>138</v>
      </c>
      <c r="D162" s="227" t="str">
        <f>'[5]TS BYDem'!D101</f>
        <v>INFO</v>
      </c>
      <c r="E162" s="227" t="s">
        <v>138</v>
      </c>
      <c r="F162" s="227" t="s">
        <v>138</v>
      </c>
      <c r="G162" s="227" t="s">
        <v>138</v>
      </c>
      <c r="H162" s="227" t="s">
        <v>138</v>
      </c>
      <c r="I162" s="227">
        <v>0</v>
      </c>
      <c r="J162" s="227">
        <f>INDEX('[5]TS BYDem'!$J$10:$J$203,MATCH(D162,'[5]TS BYDem'!$D$10:$D$203,0))</f>
        <v>3.7402169397795855</v>
      </c>
      <c r="K162" s="227">
        <f t="shared" ca="1" si="58"/>
        <v>3.5255711391474662</v>
      </c>
      <c r="L162" s="227">
        <f t="shared" ca="1" si="55"/>
        <v>3.310925338515347</v>
      </c>
      <c r="M162" s="234">
        <f t="shared" si="56"/>
        <v>3.0284240000000007</v>
      </c>
      <c r="N162" s="234">
        <f t="shared" si="57"/>
        <v>3.0284240000000007</v>
      </c>
      <c r="O162" s="234">
        <f>INDEX('[5]TS BYDem'!$O$10:$O$203,MATCH(D162,'[5]TS BYDem'!$D$10:$D$203,0))</f>
        <v>3.0284240000000007</v>
      </c>
      <c r="P162" s="227">
        <f t="shared" ca="1" si="55"/>
        <v>2.9913964002999185</v>
      </c>
      <c r="Q162" s="227">
        <f t="shared" ca="1" si="55"/>
        <v>2.9543688005998363</v>
      </c>
      <c r="R162" s="227">
        <f t="shared" ca="1" si="55"/>
        <v>2.9173412008997537</v>
      </c>
      <c r="S162" s="227">
        <f t="shared" ca="1" si="55"/>
        <v>2.8942384385681508</v>
      </c>
      <c r="T162" s="227">
        <f t="shared" ca="1" si="55"/>
        <v>2.8711356762365474</v>
      </c>
      <c r="U162" s="227">
        <f t="shared" ca="1" si="55"/>
        <v>2.8480329139049445</v>
      </c>
      <c r="V162" s="227">
        <f t="shared" ca="1" si="55"/>
        <v>2.8249301515733416</v>
      </c>
      <c r="W162" s="227">
        <f t="shared" ca="1" si="55"/>
        <v>2.8018273892417391</v>
      </c>
      <c r="X162" s="227">
        <f t="shared" ca="1" si="55"/>
        <v>2.9307827853684478</v>
      </c>
      <c r="Y162" s="227">
        <f t="shared" ca="1" si="55"/>
        <v>3.0597381814951565</v>
      </c>
      <c r="Z162" s="227">
        <f t="shared" ca="1" si="55"/>
        <v>3.1886935776218657</v>
      </c>
      <c r="AA162" s="227">
        <f t="shared" ca="1" si="55"/>
        <v>3.3176489737485748</v>
      </c>
      <c r="AB162" s="227">
        <f t="shared" ca="1" si="55"/>
        <v>3.4466043698752844</v>
      </c>
      <c r="AC162" s="227">
        <f t="shared" ca="1" si="55"/>
        <v>3.5250690328703014</v>
      </c>
      <c r="AD162" s="227">
        <f t="shared" ca="1" si="55"/>
        <v>3.6035336958653184</v>
      </c>
      <c r="AE162" s="227">
        <f t="shared" ca="1" si="55"/>
        <v>3.6819983588603358</v>
      </c>
      <c r="AF162" s="227">
        <f t="shared" ca="1" si="55"/>
        <v>3.7604630218553532</v>
      </c>
      <c r="AG162" s="227">
        <f t="shared" ca="1" si="55"/>
        <v>3.8389276848503693</v>
      </c>
      <c r="AH162" s="227">
        <f t="shared" ca="1" si="55"/>
        <v>3.9315709284821652</v>
      </c>
      <c r="AI162" s="227">
        <f t="shared" ca="1" si="55"/>
        <v>4.024214172113961</v>
      </c>
      <c r="AJ162" s="227">
        <f t="shared" ca="1" si="55"/>
        <v>4.1168574157457574</v>
      </c>
      <c r="AK162" s="227">
        <f t="shared" ca="1" si="55"/>
        <v>4.2095006593775537</v>
      </c>
      <c r="AL162" s="227">
        <f t="shared" ca="1" si="55"/>
        <v>4.3021439030093482</v>
      </c>
      <c r="AM162" s="227">
        <f t="shared" ca="1" si="55"/>
        <v>4.4416595956941975</v>
      </c>
      <c r="AN162" s="227">
        <f t="shared" ca="1" si="55"/>
        <v>4.6491400810718799</v>
      </c>
      <c r="AO162" s="227">
        <f t="shared" ca="1" si="55"/>
        <v>4.9848087936856089</v>
      </c>
      <c r="AP162" s="227">
        <f t="shared" ca="1" si="55"/>
        <v>5.3318049717481424</v>
      </c>
    </row>
    <row r="163" spans="1:42">
      <c r="A163" s="61" t="str">
        <f>'[5]TS BYDem'!A102</f>
        <v/>
      </c>
      <c r="B163" s="227" t="s">
        <v>295</v>
      </c>
      <c r="C163" s="227" t="s">
        <v>138</v>
      </c>
      <c r="D163" s="227" t="str">
        <f>'[5]TS BYDem'!D102</f>
        <v>INFE</v>
      </c>
      <c r="E163" s="227" t="s">
        <v>138</v>
      </c>
      <c r="F163" s="227" t="s">
        <v>138</v>
      </c>
      <c r="G163" s="227" t="s">
        <v>138</v>
      </c>
      <c r="H163" s="227" t="s">
        <v>138</v>
      </c>
      <c r="I163" s="227">
        <v>0</v>
      </c>
      <c r="J163" s="227">
        <f>INDEX('[5]TS BYDem'!$J$10:$J$203,MATCH(D163,'[5]TS BYDem'!$D$10:$D$203,0))</f>
        <v>45.684078335879221</v>
      </c>
      <c r="K163" s="227">
        <f t="shared" ca="1" si="58"/>
        <v>43.062333199586909</v>
      </c>
      <c r="L163" s="227">
        <f t="shared" ca="1" si="55"/>
        <v>40.440588063294598</v>
      </c>
      <c r="M163" s="234">
        <f t="shared" si="56"/>
        <v>36.990036000000003</v>
      </c>
      <c r="N163" s="234">
        <f t="shared" si="57"/>
        <v>36.990036000000003</v>
      </c>
      <c r="O163" s="234">
        <f>INDEX('[5]TS BYDem'!$O$10:$O$203,MATCH(D163,'[5]TS BYDem'!$D$10:$D$203,0))</f>
        <v>36.990036000000003</v>
      </c>
      <c r="P163" s="227">
        <f t="shared" ca="1" si="55"/>
        <v>36.537770317948997</v>
      </c>
      <c r="Q163" s="227">
        <f t="shared" ca="1" si="55"/>
        <v>36.085504635897991</v>
      </c>
      <c r="R163" s="227">
        <f t="shared" ca="1" si="55"/>
        <v>35.633238953846977</v>
      </c>
      <c r="S163" s="227">
        <f t="shared" ca="1" si="55"/>
        <v>35.351055213939539</v>
      </c>
      <c r="T163" s="227">
        <f t="shared" ca="1" si="55"/>
        <v>35.0688714740321</v>
      </c>
      <c r="U163" s="227">
        <f t="shared" ca="1" si="55"/>
        <v>34.786687734124662</v>
      </c>
      <c r="V163" s="227">
        <f t="shared" ca="1" si="55"/>
        <v>34.504503994217224</v>
      </c>
      <c r="W163" s="227">
        <f t="shared" ca="1" si="55"/>
        <v>34.222320254309793</v>
      </c>
      <c r="X163" s="227">
        <f t="shared" ca="1" si="55"/>
        <v>35.797418307000306</v>
      </c>
      <c r="Y163" s="227">
        <f t="shared" ca="1" si="55"/>
        <v>37.37251635969082</v>
      </c>
      <c r="Z163" s="227">
        <f t="shared" ca="1" si="55"/>
        <v>38.947614412381341</v>
      </c>
      <c r="AA163" s="227">
        <f t="shared" ca="1" si="55"/>
        <v>40.522712465071862</v>
      </c>
      <c r="AB163" s="227">
        <f t="shared" ca="1" si="55"/>
        <v>42.097810517762383</v>
      </c>
      <c r="AC163" s="227">
        <f t="shared" ca="1" si="55"/>
        <v>43.056200330058665</v>
      </c>
      <c r="AD163" s="227">
        <f t="shared" ca="1" si="55"/>
        <v>44.01459014235494</v>
      </c>
      <c r="AE163" s="227">
        <f t="shared" ca="1" si="55"/>
        <v>44.972979954651223</v>
      </c>
      <c r="AF163" s="227">
        <f t="shared" ca="1" si="55"/>
        <v>45.931369766947505</v>
      </c>
      <c r="AG163" s="227">
        <f t="shared" ca="1" si="55"/>
        <v>46.889759579243773</v>
      </c>
      <c r="AH163" s="227">
        <f t="shared" ca="1" si="55"/>
        <v>48.02133062646071</v>
      </c>
      <c r="AI163" s="227">
        <f t="shared" ca="1" si="55"/>
        <v>49.15290167367764</v>
      </c>
      <c r="AJ163" s="227">
        <f t="shared" ca="1" si="55"/>
        <v>50.284472720894577</v>
      </c>
      <c r="AK163" s="227">
        <f t="shared" ca="1" si="55"/>
        <v>51.416043768111514</v>
      </c>
      <c r="AL163" s="227">
        <f t="shared" ca="1" si="55"/>
        <v>52.547614815328437</v>
      </c>
      <c r="AM163" s="227">
        <f t="shared" ca="1" si="55"/>
        <v>54.251699347407666</v>
      </c>
      <c r="AN163" s="227">
        <f t="shared" ca="1" si="55"/>
        <v>56.78592527594936</v>
      </c>
      <c r="AO163" s="227">
        <f t="shared" ca="1" si="55"/>
        <v>60.8858788371599</v>
      </c>
      <c r="AP163" s="227">
        <f t="shared" ca="1" si="55"/>
        <v>65.124189297780845</v>
      </c>
    </row>
    <row r="164" spans="1:42">
      <c r="A164" s="61" t="str">
        <f>'[5]TS BYDem'!A103</f>
        <v>*</v>
      </c>
      <c r="B164" s="227" t="s">
        <v>295</v>
      </c>
      <c r="C164" s="227" t="s">
        <v>138</v>
      </c>
      <c r="D164" s="227" t="str">
        <f>'[5]TS BYDem'!D103</f>
        <v xml:space="preserve"> </v>
      </c>
      <c r="E164" s="227" t="s">
        <v>138</v>
      </c>
      <c r="F164" s="227" t="s">
        <v>138</v>
      </c>
      <c r="G164" s="227" t="s">
        <v>138</v>
      </c>
      <c r="H164" s="227" t="s">
        <v>138</v>
      </c>
      <c r="I164" s="227">
        <v>0</v>
      </c>
      <c r="J164" s="227" t="str">
        <f>INDEX('[5]TS BYDem'!$J$10:$J$203,MATCH(D164,'[5]TS BYDem'!$D$10:$D$203,0))</f>
        <v/>
      </c>
      <c r="K164" s="227" t="e">
        <f t="shared" ca="1" si="58"/>
        <v>#VALUE!</v>
      </c>
      <c r="L164" s="227" t="e">
        <f t="shared" ca="1" si="55"/>
        <v>#VALUE!</v>
      </c>
      <c r="M164" s="227" t="e">
        <f t="shared" ca="1" si="55"/>
        <v>#VALUE!</v>
      </c>
      <c r="N164" s="227" t="e">
        <f t="shared" ca="1" si="55"/>
        <v>#VALUE!</v>
      </c>
      <c r="O164" s="227" t="e">
        <f t="shared" ref="O164:AD172" ca="1" si="59">O$154/N$154*N164</f>
        <v>#VALUE!</v>
      </c>
      <c r="P164" s="227" t="e">
        <f t="shared" ca="1" si="59"/>
        <v>#VALUE!</v>
      </c>
      <c r="Q164" s="227" t="e">
        <f t="shared" ca="1" si="59"/>
        <v>#VALUE!</v>
      </c>
      <c r="R164" s="227" t="e">
        <f t="shared" ca="1" si="59"/>
        <v>#VALUE!</v>
      </c>
      <c r="S164" s="227" t="e">
        <f t="shared" ca="1" si="59"/>
        <v>#VALUE!</v>
      </c>
      <c r="T164" s="227" t="e">
        <f t="shared" ca="1" si="59"/>
        <v>#VALUE!</v>
      </c>
      <c r="U164" s="227" t="e">
        <f t="shared" ca="1" si="59"/>
        <v>#VALUE!</v>
      </c>
      <c r="V164" s="227" t="e">
        <f t="shared" ca="1" si="59"/>
        <v>#VALUE!</v>
      </c>
      <c r="W164" s="227" t="e">
        <f t="shared" ca="1" si="59"/>
        <v>#VALUE!</v>
      </c>
      <c r="X164" s="227" t="e">
        <f t="shared" ca="1" si="59"/>
        <v>#VALUE!</v>
      </c>
      <c r="Y164" s="227" t="e">
        <f t="shared" ca="1" si="59"/>
        <v>#VALUE!</v>
      </c>
      <c r="Z164" s="227" t="e">
        <f t="shared" ca="1" si="59"/>
        <v>#VALUE!</v>
      </c>
      <c r="AA164" s="227" t="e">
        <f t="shared" ca="1" si="59"/>
        <v>#VALUE!</v>
      </c>
      <c r="AB164" s="227" t="e">
        <f t="shared" ca="1" si="59"/>
        <v>#VALUE!</v>
      </c>
      <c r="AC164" s="227" t="e">
        <f t="shared" ca="1" si="59"/>
        <v>#VALUE!</v>
      </c>
      <c r="AD164" s="227" t="e">
        <f t="shared" ca="1" si="59"/>
        <v>#VALUE!</v>
      </c>
      <c r="AE164" s="227" t="e">
        <f t="shared" ref="AE164:AP172" ca="1" si="60">AE$154/AD$154*AD164</f>
        <v>#VALUE!</v>
      </c>
      <c r="AF164" s="227" t="e">
        <f t="shared" ca="1" si="60"/>
        <v>#VALUE!</v>
      </c>
      <c r="AG164" s="227" t="e">
        <f t="shared" ca="1" si="60"/>
        <v>#VALUE!</v>
      </c>
      <c r="AH164" s="227" t="e">
        <f t="shared" ca="1" si="60"/>
        <v>#VALUE!</v>
      </c>
      <c r="AI164" s="227" t="e">
        <f t="shared" ca="1" si="60"/>
        <v>#VALUE!</v>
      </c>
      <c r="AJ164" s="227" t="e">
        <f t="shared" ca="1" si="60"/>
        <v>#VALUE!</v>
      </c>
      <c r="AK164" s="227" t="e">
        <f t="shared" ca="1" si="60"/>
        <v>#VALUE!</v>
      </c>
      <c r="AL164" s="227" t="e">
        <f t="shared" ca="1" si="60"/>
        <v>#VALUE!</v>
      </c>
      <c r="AM164" s="227" t="e">
        <f t="shared" ca="1" si="60"/>
        <v>#VALUE!</v>
      </c>
      <c r="AN164" s="227" t="e">
        <f t="shared" ca="1" si="60"/>
        <v>#VALUE!</v>
      </c>
      <c r="AO164" s="227" t="e">
        <f t="shared" ca="1" si="60"/>
        <v>#VALUE!</v>
      </c>
      <c r="AP164" s="227" t="e">
        <f t="shared" ca="1" si="60"/>
        <v>#VALUE!</v>
      </c>
    </row>
    <row r="165" spans="1:42">
      <c r="A165" s="61" t="str">
        <f>'[5]TS BYDem'!A104</f>
        <v/>
      </c>
      <c r="B165" s="227" t="s">
        <v>295</v>
      </c>
      <c r="C165" s="227" t="s">
        <v>138</v>
      </c>
      <c r="D165" s="227" t="str">
        <f>'[5]TS BYDem'!D104</f>
        <v>INFS</v>
      </c>
      <c r="E165" s="227" t="s">
        <v>138</v>
      </c>
      <c r="F165" s="227" t="s">
        <v>138</v>
      </c>
      <c r="G165" s="227" t="s">
        <v>138</v>
      </c>
      <c r="H165" s="227" t="s">
        <v>138</v>
      </c>
      <c r="I165" s="227">
        <v>0</v>
      </c>
      <c r="J165" s="227">
        <f>INDEX('[5]TS BYDem'!$J$10:$J$203,MATCH(D165,'[5]TS BYDem'!$D$10:$D$203,0))</f>
        <v>2.487856608</v>
      </c>
      <c r="K165" s="227">
        <f t="shared" ca="1" si="58"/>
        <v>2.3450820090716453</v>
      </c>
      <c r="L165" s="227">
        <f t="shared" ca="1" si="58"/>
        <v>2.2023074101432907</v>
      </c>
      <c r="M165" s="234">
        <f t="shared" ref="M165" si="61">O165</f>
        <v>0.65368000000000004</v>
      </c>
      <c r="N165" s="234">
        <f t="shared" ref="N165" si="62">O165</f>
        <v>0.65368000000000004</v>
      </c>
      <c r="O165" s="234">
        <f>INDEX('[5]TS BYDem'!$O$10:$O$203,MATCH(D165,'[5]TS BYDem'!$D$10:$D$203,0))</f>
        <v>0.65368000000000004</v>
      </c>
      <c r="P165" s="227">
        <f t="shared" ca="1" si="59"/>
        <v>0.64568765765561575</v>
      </c>
      <c r="Q165" s="227">
        <f t="shared" ca="1" si="59"/>
        <v>0.63769531531123147</v>
      </c>
      <c r="R165" s="227">
        <f t="shared" ca="1" si="59"/>
        <v>0.62970297296684696</v>
      </c>
      <c r="S165" s="227">
        <f t="shared" ca="1" si="59"/>
        <v>0.62471628230499698</v>
      </c>
      <c r="T165" s="227">
        <f t="shared" ca="1" si="59"/>
        <v>0.619729591643147</v>
      </c>
      <c r="U165" s="227">
        <f t="shared" ca="1" si="59"/>
        <v>0.61474290098129702</v>
      </c>
      <c r="V165" s="227">
        <f t="shared" ca="1" si="59"/>
        <v>0.60975621031944705</v>
      </c>
      <c r="W165" s="227">
        <f t="shared" ca="1" si="59"/>
        <v>0.60476951965759718</v>
      </c>
      <c r="X165" s="227">
        <f t="shared" ca="1" si="59"/>
        <v>0.63260431535995154</v>
      </c>
      <c r="Y165" s="227">
        <f t="shared" ca="1" si="59"/>
        <v>0.66043911106230591</v>
      </c>
      <c r="Z165" s="227">
        <f t="shared" ca="1" si="59"/>
        <v>0.68827390676466038</v>
      </c>
      <c r="AA165" s="227">
        <f t="shared" ca="1" si="59"/>
        <v>0.71610870246701486</v>
      </c>
      <c r="AB165" s="227">
        <f t="shared" ca="1" si="59"/>
        <v>0.74394349816936944</v>
      </c>
      <c r="AC165" s="227">
        <f t="shared" ca="1" si="59"/>
        <v>0.76087995782844708</v>
      </c>
      <c r="AD165" s="227">
        <f t="shared" ca="1" si="59"/>
        <v>0.77781641748752472</v>
      </c>
      <c r="AE165" s="227">
        <f t="shared" ca="1" si="60"/>
        <v>0.79475287714660248</v>
      </c>
      <c r="AF165" s="227">
        <f t="shared" ca="1" si="60"/>
        <v>0.81168933680568023</v>
      </c>
      <c r="AG165" s="227">
        <f t="shared" ca="1" si="60"/>
        <v>0.82862579646475776</v>
      </c>
      <c r="AH165" s="227">
        <f t="shared" ca="1" si="60"/>
        <v>0.84862267784505074</v>
      </c>
      <c r="AI165" s="227">
        <f t="shared" ca="1" si="60"/>
        <v>0.86861955922534362</v>
      </c>
      <c r="AJ165" s="227">
        <f t="shared" ca="1" si="60"/>
        <v>0.8886164406056366</v>
      </c>
      <c r="AK165" s="227">
        <f t="shared" ca="1" si="60"/>
        <v>0.90861332198592959</v>
      </c>
      <c r="AL165" s="227">
        <f t="shared" ca="1" si="60"/>
        <v>0.92861020336622235</v>
      </c>
      <c r="AM165" s="227">
        <f t="shared" ca="1" si="60"/>
        <v>0.9587244205280967</v>
      </c>
      <c r="AN165" s="227">
        <f t="shared" ca="1" si="60"/>
        <v>1.003508718790719</v>
      </c>
      <c r="AO165" s="227">
        <f t="shared" ca="1" si="60"/>
        <v>1.0759622206984247</v>
      </c>
      <c r="AP165" s="227">
        <f t="shared" ca="1" si="60"/>
        <v>1.1508607361229215</v>
      </c>
    </row>
    <row r="166" spans="1:42">
      <c r="A166" s="61" t="str">
        <f>'[5]TS BYDem'!A105</f>
        <v>*</v>
      </c>
      <c r="B166" s="227" t="s">
        <v>295</v>
      </c>
      <c r="C166" s="227" t="s">
        <v>138</v>
      </c>
      <c r="D166" s="227" t="str">
        <f>'[5]TS BYDem'!D105</f>
        <v>INFS</v>
      </c>
      <c r="E166" s="227" t="s">
        <v>138</v>
      </c>
      <c r="F166" s="227" t="s">
        <v>138</v>
      </c>
      <c r="G166" s="227" t="s">
        <v>138</v>
      </c>
      <c r="H166" s="227" t="s">
        <v>138</v>
      </c>
      <c r="I166" s="227">
        <v>0</v>
      </c>
      <c r="J166" s="227">
        <f>INDEX('[5]TS BYDem'!$J$10:$J$203,MATCH(D166,'[5]TS BYDem'!$D$10:$D$203,0))</f>
        <v>2.487856608</v>
      </c>
      <c r="K166" s="227">
        <f t="shared" ca="1" si="58"/>
        <v>2.3450820090716453</v>
      </c>
      <c r="L166" s="227">
        <f t="shared" ca="1" si="58"/>
        <v>2.2023074101432907</v>
      </c>
      <c r="M166" s="227">
        <f t="shared" ca="1" si="58"/>
        <v>2.059532811214936</v>
      </c>
      <c r="N166" s="227">
        <f t="shared" ca="1" si="58"/>
        <v>2.0349526120897994</v>
      </c>
      <c r="O166" s="227">
        <f t="shared" ca="1" si="59"/>
        <v>2.0103724129646623</v>
      </c>
      <c r="P166" s="227">
        <f t="shared" ca="1" si="59"/>
        <v>1.9857922138395254</v>
      </c>
      <c r="Q166" s="227">
        <f t="shared" ca="1" si="59"/>
        <v>1.9612120147143886</v>
      </c>
      <c r="R166" s="227">
        <f t="shared" ca="1" si="59"/>
        <v>1.9366318155892512</v>
      </c>
      <c r="S166" s="227">
        <f t="shared" ca="1" si="59"/>
        <v>1.92129540428927</v>
      </c>
      <c r="T166" s="227">
        <f t="shared" ca="1" si="59"/>
        <v>1.9059589929892888</v>
      </c>
      <c r="U166" s="227">
        <f t="shared" ca="1" si="59"/>
        <v>1.8906225816893076</v>
      </c>
      <c r="V166" s="227">
        <f t="shared" ca="1" si="59"/>
        <v>1.8752861703893267</v>
      </c>
      <c r="W166" s="227">
        <f t="shared" ca="1" si="59"/>
        <v>1.8599497590893459</v>
      </c>
      <c r="X166" s="227">
        <f t="shared" ca="1" si="59"/>
        <v>1.9455548034543573</v>
      </c>
      <c r="Y166" s="227">
        <f t="shared" ca="1" si="59"/>
        <v>2.0311598478193686</v>
      </c>
      <c r="Z166" s="227">
        <f t="shared" ca="1" si="59"/>
        <v>2.1167648921843805</v>
      </c>
      <c r="AA166" s="227">
        <f t="shared" ca="1" si="59"/>
        <v>2.2023699365493923</v>
      </c>
      <c r="AB166" s="227">
        <f t="shared" ca="1" si="59"/>
        <v>2.2879749809144041</v>
      </c>
      <c r="AC166" s="227">
        <f t="shared" ca="1" si="59"/>
        <v>2.3400625333435725</v>
      </c>
      <c r="AD166" s="227">
        <f t="shared" ca="1" si="59"/>
        <v>2.3921500857727405</v>
      </c>
      <c r="AE166" s="227">
        <f t="shared" ca="1" si="60"/>
        <v>2.4442376382019089</v>
      </c>
      <c r="AF166" s="227">
        <f t="shared" ca="1" si="60"/>
        <v>2.4963251906310773</v>
      </c>
      <c r="AG166" s="227">
        <f t="shared" ca="1" si="60"/>
        <v>2.5484127430602448</v>
      </c>
      <c r="AH166" s="227">
        <f t="shared" ca="1" si="60"/>
        <v>2.6099125268570074</v>
      </c>
      <c r="AI166" s="227">
        <f t="shared" ca="1" si="60"/>
        <v>2.6714123106537695</v>
      </c>
      <c r="AJ166" s="227">
        <f t="shared" ca="1" si="60"/>
        <v>2.7329120944505321</v>
      </c>
      <c r="AK166" s="227">
        <f t="shared" ca="1" si="60"/>
        <v>2.7944118782472946</v>
      </c>
      <c r="AL166" s="227">
        <f t="shared" ca="1" si="60"/>
        <v>2.8559116620440563</v>
      </c>
      <c r="AM166" s="227">
        <f t="shared" ca="1" si="60"/>
        <v>2.9485269958775211</v>
      </c>
      <c r="AN166" s="227">
        <f t="shared" ca="1" si="60"/>
        <v>3.0862597057067296</v>
      </c>
      <c r="AO166" s="227">
        <f t="shared" ca="1" si="60"/>
        <v>3.309088186703447</v>
      </c>
      <c r="AP166" s="227">
        <f t="shared" ca="1" si="60"/>
        <v>3.5394362303661211</v>
      </c>
    </row>
    <row r="167" spans="1:42">
      <c r="A167" s="61" t="str">
        <f>'[5]TS BYDem'!A106</f>
        <v>*</v>
      </c>
      <c r="B167" s="227" t="s">
        <v>295</v>
      </c>
      <c r="C167" s="227" t="s">
        <v>138</v>
      </c>
      <c r="D167" s="227" t="str">
        <f>'[5]TS BYDem'!D106</f>
        <v>INFS</v>
      </c>
      <c r="E167" s="227" t="s">
        <v>138</v>
      </c>
      <c r="F167" s="227" t="s">
        <v>138</v>
      </c>
      <c r="G167" s="227" t="s">
        <v>138</v>
      </c>
      <c r="H167" s="227" t="s">
        <v>138</v>
      </c>
      <c r="I167" s="227">
        <v>0</v>
      </c>
      <c r="J167" s="227">
        <f>INDEX('[5]TS BYDem'!$J$10:$J$203,MATCH(D167,'[5]TS BYDem'!$D$10:$D$203,0))</f>
        <v>2.487856608</v>
      </c>
      <c r="K167" s="227">
        <f t="shared" ca="1" si="58"/>
        <v>2.3450820090716453</v>
      </c>
      <c r="L167" s="227">
        <f t="shared" ca="1" si="58"/>
        <v>2.2023074101432907</v>
      </c>
      <c r="M167" s="227">
        <f t="shared" ca="1" si="58"/>
        <v>2.059532811214936</v>
      </c>
      <c r="N167" s="227">
        <f t="shared" ca="1" si="58"/>
        <v>2.0349526120897994</v>
      </c>
      <c r="O167" s="227">
        <f t="shared" ca="1" si="59"/>
        <v>2.0103724129646623</v>
      </c>
      <c r="P167" s="227">
        <f t="shared" ca="1" si="59"/>
        <v>1.9857922138395254</v>
      </c>
      <c r="Q167" s="227">
        <f t="shared" ca="1" si="59"/>
        <v>1.9612120147143886</v>
      </c>
      <c r="R167" s="227">
        <f t="shared" ca="1" si="59"/>
        <v>1.9366318155892512</v>
      </c>
      <c r="S167" s="227">
        <f t="shared" ca="1" si="59"/>
        <v>1.92129540428927</v>
      </c>
      <c r="T167" s="227">
        <f t="shared" ca="1" si="59"/>
        <v>1.9059589929892888</v>
      </c>
      <c r="U167" s="227">
        <f t="shared" ca="1" si="59"/>
        <v>1.8906225816893076</v>
      </c>
      <c r="V167" s="227">
        <f t="shared" ca="1" si="59"/>
        <v>1.8752861703893267</v>
      </c>
      <c r="W167" s="227">
        <f t="shared" ca="1" si="59"/>
        <v>1.8599497590893459</v>
      </c>
      <c r="X167" s="227">
        <f t="shared" ca="1" si="59"/>
        <v>1.9455548034543573</v>
      </c>
      <c r="Y167" s="227">
        <f t="shared" ca="1" si="59"/>
        <v>2.0311598478193686</v>
      </c>
      <c r="Z167" s="227">
        <f t="shared" ca="1" si="59"/>
        <v>2.1167648921843805</v>
      </c>
      <c r="AA167" s="227">
        <f t="shared" ca="1" si="59"/>
        <v>2.2023699365493923</v>
      </c>
      <c r="AB167" s="227">
        <f t="shared" ca="1" si="59"/>
        <v>2.2879749809144041</v>
      </c>
      <c r="AC167" s="227">
        <f t="shared" ca="1" si="59"/>
        <v>2.3400625333435725</v>
      </c>
      <c r="AD167" s="227">
        <f t="shared" ca="1" si="59"/>
        <v>2.3921500857727405</v>
      </c>
      <c r="AE167" s="227">
        <f t="shared" ca="1" si="60"/>
        <v>2.4442376382019089</v>
      </c>
      <c r="AF167" s="227">
        <f t="shared" ca="1" si="60"/>
        <v>2.4963251906310773</v>
      </c>
      <c r="AG167" s="227">
        <f t="shared" ca="1" si="60"/>
        <v>2.5484127430602448</v>
      </c>
      <c r="AH167" s="227">
        <f t="shared" ca="1" si="60"/>
        <v>2.6099125268570074</v>
      </c>
      <c r="AI167" s="227">
        <f t="shared" ca="1" si="60"/>
        <v>2.6714123106537695</v>
      </c>
      <c r="AJ167" s="227">
        <f t="shared" ca="1" si="60"/>
        <v>2.7329120944505321</v>
      </c>
      <c r="AK167" s="227">
        <f t="shared" ca="1" si="60"/>
        <v>2.7944118782472946</v>
      </c>
      <c r="AL167" s="227">
        <f t="shared" ca="1" si="60"/>
        <v>2.8559116620440563</v>
      </c>
      <c r="AM167" s="227">
        <f t="shared" ca="1" si="60"/>
        <v>2.9485269958775211</v>
      </c>
      <c r="AN167" s="227">
        <f t="shared" ca="1" si="60"/>
        <v>3.0862597057067296</v>
      </c>
      <c r="AO167" s="227">
        <f t="shared" ca="1" si="60"/>
        <v>3.309088186703447</v>
      </c>
      <c r="AP167" s="227">
        <f t="shared" ca="1" si="60"/>
        <v>3.5394362303661211</v>
      </c>
    </row>
    <row r="168" spans="1:42">
      <c r="A168" s="61" t="str">
        <f>'[5]TS BYDem'!A107</f>
        <v>*</v>
      </c>
      <c r="B168" s="227" t="s">
        <v>295</v>
      </c>
      <c r="C168" s="227" t="s">
        <v>138</v>
      </c>
      <c r="D168" s="227" t="str">
        <f>'[5]TS BYDem'!D107</f>
        <v>INFS</v>
      </c>
      <c r="E168" s="227" t="s">
        <v>138</v>
      </c>
      <c r="F168" s="227" t="s">
        <v>138</v>
      </c>
      <c r="G168" s="227" t="s">
        <v>138</v>
      </c>
      <c r="H168" s="227" t="s">
        <v>138</v>
      </c>
      <c r="I168" s="227">
        <v>0</v>
      </c>
      <c r="J168" s="227">
        <f>INDEX('[5]TS BYDem'!$J$10:$J$203,MATCH(D168,'[5]TS BYDem'!$D$10:$D$203,0))</f>
        <v>2.487856608</v>
      </c>
      <c r="K168" s="227">
        <f t="shared" ca="1" si="58"/>
        <v>2.3450820090716453</v>
      </c>
      <c r="L168" s="227">
        <f t="shared" ca="1" si="58"/>
        <v>2.2023074101432907</v>
      </c>
      <c r="M168" s="227">
        <f t="shared" ca="1" si="58"/>
        <v>2.059532811214936</v>
      </c>
      <c r="N168" s="227">
        <f t="shared" ca="1" si="58"/>
        <v>2.0349526120897994</v>
      </c>
      <c r="O168" s="227">
        <f t="shared" ca="1" si="59"/>
        <v>2.0103724129646623</v>
      </c>
      <c r="P168" s="227">
        <f t="shared" ca="1" si="59"/>
        <v>1.9857922138395254</v>
      </c>
      <c r="Q168" s="227">
        <f t="shared" ca="1" si="59"/>
        <v>1.9612120147143886</v>
      </c>
      <c r="R168" s="227">
        <f t="shared" ca="1" si="59"/>
        <v>1.9366318155892512</v>
      </c>
      <c r="S168" s="227">
        <f t="shared" ca="1" si="59"/>
        <v>1.92129540428927</v>
      </c>
      <c r="T168" s="227">
        <f t="shared" ca="1" si="59"/>
        <v>1.9059589929892888</v>
      </c>
      <c r="U168" s="227">
        <f t="shared" ca="1" si="59"/>
        <v>1.8906225816893076</v>
      </c>
      <c r="V168" s="227">
        <f t="shared" ca="1" si="59"/>
        <v>1.8752861703893267</v>
      </c>
      <c r="W168" s="227">
        <f t="shared" ca="1" si="59"/>
        <v>1.8599497590893459</v>
      </c>
      <c r="X168" s="227">
        <f t="shared" ca="1" si="59"/>
        <v>1.9455548034543573</v>
      </c>
      <c r="Y168" s="227">
        <f t="shared" ca="1" si="59"/>
        <v>2.0311598478193686</v>
      </c>
      <c r="Z168" s="227">
        <f t="shared" ca="1" si="59"/>
        <v>2.1167648921843805</v>
      </c>
      <c r="AA168" s="227">
        <f t="shared" ca="1" si="59"/>
        <v>2.2023699365493923</v>
      </c>
      <c r="AB168" s="227">
        <f t="shared" ca="1" si="59"/>
        <v>2.2879749809144041</v>
      </c>
      <c r="AC168" s="227">
        <f t="shared" ca="1" si="59"/>
        <v>2.3400625333435725</v>
      </c>
      <c r="AD168" s="227">
        <f t="shared" ca="1" si="59"/>
        <v>2.3921500857727405</v>
      </c>
      <c r="AE168" s="227">
        <f t="shared" ca="1" si="60"/>
        <v>2.4442376382019089</v>
      </c>
      <c r="AF168" s="227">
        <f t="shared" ca="1" si="60"/>
        <v>2.4963251906310773</v>
      </c>
      <c r="AG168" s="227">
        <f t="shared" ca="1" si="60"/>
        <v>2.5484127430602448</v>
      </c>
      <c r="AH168" s="227">
        <f t="shared" ca="1" si="60"/>
        <v>2.6099125268570074</v>
      </c>
      <c r="AI168" s="227">
        <f t="shared" ca="1" si="60"/>
        <v>2.6714123106537695</v>
      </c>
      <c r="AJ168" s="227">
        <f t="shared" ca="1" si="60"/>
        <v>2.7329120944505321</v>
      </c>
      <c r="AK168" s="227">
        <f t="shared" ca="1" si="60"/>
        <v>2.7944118782472946</v>
      </c>
      <c r="AL168" s="227">
        <f t="shared" ca="1" si="60"/>
        <v>2.8559116620440563</v>
      </c>
      <c r="AM168" s="227">
        <f t="shared" ca="1" si="60"/>
        <v>2.9485269958775211</v>
      </c>
      <c r="AN168" s="227">
        <f t="shared" ca="1" si="60"/>
        <v>3.0862597057067296</v>
      </c>
      <c r="AO168" s="227">
        <f t="shared" ca="1" si="60"/>
        <v>3.309088186703447</v>
      </c>
      <c r="AP168" s="227">
        <f t="shared" ca="1" si="60"/>
        <v>3.5394362303661211</v>
      </c>
    </row>
    <row r="169" spans="1:42">
      <c r="A169" s="61" t="str">
        <f>'[5]TS BYDem'!A108</f>
        <v>*</v>
      </c>
      <c r="B169" s="227" t="s">
        <v>295</v>
      </c>
      <c r="C169" s="227" t="s">
        <v>138</v>
      </c>
      <c r="D169" s="227" t="str">
        <f>'[5]TS BYDem'!D108</f>
        <v>INFS</v>
      </c>
      <c r="E169" s="227" t="s">
        <v>138</v>
      </c>
      <c r="F169" s="227" t="s">
        <v>138</v>
      </c>
      <c r="G169" s="227" t="s">
        <v>138</v>
      </c>
      <c r="H169" s="227" t="s">
        <v>138</v>
      </c>
      <c r="I169" s="227">
        <v>0</v>
      </c>
      <c r="J169" s="227">
        <f>INDEX('[5]TS BYDem'!$J$10:$J$203,MATCH(D169,'[5]TS BYDem'!$D$10:$D$203,0))</f>
        <v>2.487856608</v>
      </c>
      <c r="K169" s="227">
        <f t="shared" ca="1" si="58"/>
        <v>2.3450820090716453</v>
      </c>
      <c r="L169" s="227">
        <f t="shared" ca="1" si="58"/>
        <v>2.2023074101432907</v>
      </c>
      <c r="M169" s="227">
        <f t="shared" ca="1" si="58"/>
        <v>2.059532811214936</v>
      </c>
      <c r="N169" s="227">
        <f t="shared" ca="1" si="58"/>
        <v>2.0349526120897994</v>
      </c>
      <c r="O169" s="227">
        <f t="shared" ca="1" si="59"/>
        <v>2.0103724129646623</v>
      </c>
      <c r="P169" s="227">
        <f t="shared" ca="1" si="59"/>
        <v>1.9857922138395254</v>
      </c>
      <c r="Q169" s="227">
        <f t="shared" ca="1" si="59"/>
        <v>1.9612120147143886</v>
      </c>
      <c r="R169" s="227">
        <f t="shared" ca="1" si="59"/>
        <v>1.9366318155892512</v>
      </c>
      <c r="S169" s="227">
        <f t="shared" ca="1" si="59"/>
        <v>1.92129540428927</v>
      </c>
      <c r="T169" s="227">
        <f t="shared" ca="1" si="59"/>
        <v>1.9059589929892888</v>
      </c>
      <c r="U169" s="227">
        <f t="shared" ca="1" si="59"/>
        <v>1.8906225816893076</v>
      </c>
      <c r="V169" s="227">
        <f t="shared" ca="1" si="59"/>
        <v>1.8752861703893267</v>
      </c>
      <c r="W169" s="227">
        <f t="shared" ca="1" si="59"/>
        <v>1.8599497590893459</v>
      </c>
      <c r="X169" s="227">
        <f t="shared" ca="1" si="59"/>
        <v>1.9455548034543573</v>
      </c>
      <c r="Y169" s="227">
        <f t="shared" ca="1" si="59"/>
        <v>2.0311598478193686</v>
      </c>
      <c r="Z169" s="227">
        <f t="shared" ca="1" si="59"/>
        <v>2.1167648921843805</v>
      </c>
      <c r="AA169" s="227">
        <f t="shared" ca="1" si="59"/>
        <v>2.2023699365493923</v>
      </c>
      <c r="AB169" s="227">
        <f t="shared" ca="1" si="59"/>
        <v>2.2879749809144041</v>
      </c>
      <c r="AC169" s="227">
        <f t="shared" ca="1" si="59"/>
        <v>2.3400625333435725</v>
      </c>
      <c r="AD169" s="227">
        <f t="shared" ca="1" si="59"/>
        <v>2.3921500857727405</v>
      </c>
      <c r="AE169" s="227">
        <f t="shared" ca="1" si="60"/>
        <v>2.4442376382019089</v>
      </c>
      <c r="AF169" s="227">
        <f t="shared" ca="1" si="60"/>
        <v>2.4963251906310773</v>
      </c>
      <c r="AG169" s="227">
        <f t="shared" ca="1" si="60"/>
        <v>2.5484127430602448</v>
      </c>
      <c r="AH169" s="227">
        <f t="shared" ca="1" si="60"/>
        <v>2.6099125268570074</v>
      </c>
      <c r="AI169" s="227">
        <f t="shared" ca="1" si="60"/>
        <v>2.6714123106537695</v>
      </c>
      <c r="AJ169" s="227">
        <f t="shared" ca="1" si="60"/>
        <v>2.7329120944505321</v>
      </c>
      <c r="AK169" s="227">
        <f t="shared" ca="1" si="60"/>
        <v>2.7944118782472946</v>
      </c>
      <c r="AL169" s="227">
        <f t="shared" ca="1" si="60"/>
        <v>2.8559116620440563</v>
      </c>
      <c r="AM169" s="227">
        <f t="shared" ca="1" si="60"/>
        <v>2.9485269958775211</v>
      </c>
      <c r="AN169" s="227">
        <f t="shared" ca="1" si="60"/>
        <v>3.0862597057067296</v>
      </c>
      <c r="AO169" s="227">
        <f t="shared" ca="1" si="60"/>
        <v>3.309088186703447</v>
      </c>
      <c r="AP169" s="227">
        <f t="shared" ca="1" si="60"/>
        <v>3.5394362303661211</v>
      </c>
    </row>
    <row r="170" spans="1:42">
      <c r="A170" s="61" t="str">
        <f>'[5]TS BYDem'!A109</f>
        <v>*</v>
      </c>
      <c r="B170" s="227" t="s">
        <v>295</v>
      </c>
      <c r="C170" s="227" t="s">
        <v>138</v>
      </c>
      <c r="D170" s="227" t="str">
        <f>'[5]TS BYDem'!D109</f>
        <v>INFS</v>
      </c>
      <c r="E170" s="227" t="s">
        <v>138</v>
      </c>
      <c r="F170" s="227" t="s">
        <v>138</v>
      </c>
      <c r="G170" s="227" t="s">
        <v>138</v>
      </c>
      <c r="H170" s="227" t="s">
        <v>138</v>
      </c>
      <c r="I170" s="227">
        <v>0</v>
      </c>
      <c r="J170" s="227">
        <f>INDEX('[5]TS BYDem'!$J$10:$J$203,MATCH(D170,'[5]TS BYDem'!$D$10:$D$203,0))</f>
        <v>2.487856608</v>
      </c>
      <c r="K170" s="227">
        <f t="shared" ca="1" si="58"/>
        <v>2.3450820090716453</v>
      </c>
      <c r="L170" s="227">
        <f t="shared" ca="1" si="58"/>
        <v>2.2023074101432907</v>
      </c>
      <c r="M170" s="227">
        <f t="shared" ca="1" si="58"/>
        <v>2.059532811214936</v>
      </c>
      <c r="N170" s="227">
        <f t="shared" ca="1" si="58"/>
        <v>2.0349526120897994</v>
      </c>
      <c r="O170" s="227">
        <f t="shared" ca="1" si="59"/>
        <v>2.0103724129646623</v>
      </c>
      <c r="P170" s="227">
        <f t="shared" ca="1" si="59"/>
        <v>1.9857922138395254</v>
      </c>
      <c r="Q170" s="227">
        <f t="shared" ca="1" si="59"/>
        <v>1.9612120147143886</v>
      </c>
      <c r="R170" s="227">
        <f t="shared" ca="1" si="59"/>
        <v>1.9366318155892512</v>
      </c>
      <c r="S170" s="227">
        <f t="shared" ca="1" si="59"/>
        <v>1.92129540428927</v>
      </c>
      <c r="T170" s="227">
        <f t="shared" ca="1" si="59"/>
        <v>1.9059589929892888</v>
      </c>
      <c r="U170" s="227">
        <f t="shared" ca="1" si="59"/>
        <v>1.8906225816893076</v>
      </c>
      <c r="V170" s="227">
        <f t="shared" ca="1" si="59"/>
        <v>1.8752861703893267</v>
      </c>
      <c r="W170" s="227">
        <f t="shared" ca="1" si="59"/>
        <v>1.8599497590893459</v>
      </c>
      <c r="X170" s="227">
        <f t="shared" ca="1" si="59"/>
        <v>1.9455548034543573</v>
      </c>
      <c r="Y170" s="227">
        <f t="shared" ca="1" si="59"/>
        <v>2.0311598478193686</v>
      </c>
      <c r="Z170" s="227">
        <f t="shared" ca="1" si="59"/>
        <v>2.1167648921843805</v>
      </c>
      <c r="AA170" s="227">
        <f t="shared" ca="1" si="59"/>
        <v>2.2023699365493923</v>
      </c>
      <c r="AB170" s="227">
        <f t="shared" ca="1" si="59"/>
        <v>2.2879749809144041</v>
      </c>
      <c r="AC170" s="227">
        <f t="shared" ca="1" si="59"/>
        <v>2.3400625333435725</v>
      </c>
      <c r="AD170" s="227">
        <f t="shared" ca="1" si="59"/>
        <v>2.3921500857727405</v>
      </c>
      <c r="AE170" s="227">
        <f t="shared" ca="1" si="60"/>
        <v>2.4442376382019089</v>
      </c>
      <c r="AF170" s="227">
        <f t="shared" ca="1" si="60"/>
        <v>2.4963251906310773</v>
      </c>
      <c r="AG170" s="227">
        <f t="shared" ca="1" si="60"/>
        <v>2.5484127430602448</v>
      </c>
      <c r="AH170" s="227">
        <f t="shared" ca="1" si="60"/>
        <v>2.6099125268570074</v>
      </c>
      <c r="AI170" s="227">
        <f t="shared" ca="1" si="60"/>
        <v>2.6714123106537695</v>
      </c>
      <c r="AJ170" s="227">
        <f t="shared" ca="1" si="60"/>
        <v>2.7329120944505321</v>
      </c>
      <c r="AK170" s="227">
        <f t="shared" ca="1" si="60"/>
        <v>2.7944118782472946</v>
      </c>
      <c r="AL170" s="227">
        <f t="shared" ca="1" si="60"/>
        <v>2.8559116620440563</v>
      </c>
      <c r="AM170" s="227">
        <f t="shared" ca="1" si="60"/>
        <v>2.9485269958775211</v>
      </c>
      <c r="AN170" s="227">
        <f t="shared" ca="1" si="60"/>
        <v>3.0862597057067296</v>
      </c>
      <c r="AO170" s="227">
        <f t="shared" ca="1" si="60"/>
        <v>3.309088186703447</v>
      </c>
      <c r="AP170" s="227">
        <f t="shared" ca="1" si="60"/>
        <v>3.5394362303661211</v>
      </c>
    </row>
    <row r="171" spans="1:42">
      <c r="A171" s="61" t="str">
        <f>'[5]TS BYDem'!A110</f>
        <v>*</v>
      </c>
      <c r="B171" s="227" t="s">
        <v>295</v>
      </c>
      <c r="C171" s="227" t="s">
        <v>138</v>
      </c>
      <c r="D171" s="227" t="str">
        <f>'[5]TS BYDem'!D110</f>
        <v>Useful Energy Service</v>
      </c>
      <c r="E171" s="227" t="s">
        <v>138</v>
      </c>
      <c r="F171" s="227" t="s">
        <v>138</v>
      </c>
      <c r="G171" s="227" t="s">
        <v>138</v>
      </c>
      <c r="H171" s="227" t="s">
        <v>138</v>
      </c>
      <c r="I171" s="227">
        <v>0</v>
      </c>
      <c r="J171" s="227" t="str">
        <f>INDEX('[5]TS BYDem'!$J$10:$J$203,MATCH(D171,'[5]TS BYDem'!$D$10:$D$203,0))</f>
        <v/>
      </c>
      <c r="K171" s="227" t="e">
        <f t="shared" ca="1" si="58"/>
        <v>#VALUE!</v>
      </c>
      <c r="L171" s="227" t="e">
        <f t="shared" ca="1" si="58"/>
        <v>#VALUE!</v>
      </c>
      <c r="M171" s="227" t="e">
        <f t="shared" ca="1" si="58"/>
        <v>#VALUE!</v>
      </c>
      <c r="N171" s="227" t="e">
        <f t="shared" ca="1" si="58"/>
        <v>#VALUE!</v>
      </c>
      <c r="O171" s="227" t="e">
        <f t="shared" ca="1" si="59"/>
        <v>#VALUE!</v>
      </c>
      <c r="P171" s="227" t="e">
        <f t="shared" ca="1" si="59"/>
        <v>#VALUE!</v>
      </c>
      <c r="Q171" s="227" t="e">
        <f t="shared" ca="1" si="59"/>
        <v>#VALUE!</v>
      </c>
      <c r="R171" s="227" t="e">
        <f t="shared" ca="1" si="59"/>
        <v>#VALUE!</v>
      </c>
      <c r="S171" s="227" t="e">
        <f t="shared" ca="1" si="59"/>
        <v>#VALUE!</v>
      </c>
      <c r="T171" s="227" t="e">
        <f t="shared" ca="1" si="59"/>
        <v>#VALUE!</v>
      </c>
      <c r="U171" s="227" t="e">
        <f t="shared" ca="1" si="59"/>
        <v>#VALUE!</v>
      </c>
      <c r="V171" s="227" t="e">
        <f t="shared" ca="1" si="59"/>
        <v>#VALUE!</v>
      </c>
      <c r="W171" s="227" t="e">
        <f t="shared" ca="1" si="59"/>
        <v>#VALUE!</v>
      </c>
      <c r="X171" s="227" t="e">
        <f t="shared" ca="1" si="59"/>
        <v>#VALUE!</v>
      </c>
      <c r="Y171" s="227" t="e">
        <f t="shared" ca="1" si="59"/>
        <v>#VALUE!</v>
      </c>
      <c r="Z171" s="227" t="e">
        <f t="shared" ca="1" si="59"/>
        <v>#VALUE!</v>
      </c>
      <c r="AA171" s="227" t="e">
        <f t="shared" ca="1" si="59"/>
        <v>#VALUE!</v>
      </c>
      <c r="AB171" s="227" t="e">
        <f t="shared" ca="1" si="59"/>
        <v>#VALUE!</v>
      </c>
      <c r="AC171" s="227" t="e">
        <f t="shared" ca="1" si="59"/>
        <v>#VALUE!</v>
      </c>
      <c r="AD171" s="227" t="e">
        <f t="shared" ca="1" si="59"/>
        <v>#VALUE!</v>
      </c>
      <c r="AE171" s="227" t="e">
        <f t="shared" ca="1" si="60"/>
        <v>#VALUE!</v>
      </c>
      <c r="AF171" s="227" t="e">
        <f t="shared" ca="1" si="60"/>
        <v>#VALUE!</v>
      </c>
      <c r="AG171" s="227" t="e">
        <f t="shared" ca="1" si="60"/>
        <v>#VALUE!</v>
      </c>
      <c r="AH171" s="227" t="e">
        <f t="shared" ca="1" si="60"/>
        <v>#VALUE!</v>
      </c>
      <c r="AI171" s="227" t="e">
        <f t="shared" ca="1" si="60"/>
        <v>#VALUE!</v>
      </c>
      <c r="AJ171" s="227" t="e">
        <f t="shared" ca="1" si="60"/>
        <v>#VALUE!</v>
      </c>
      <c r="AK171" s="227" t="e">
        <f t="shared" ca="1" si="60"/>
        <v>#VALUE!</v>
      </c>
      <c r="AL171" s="227" t="e">
        <f t="shared" ca="1" si="60"/>
        <v>#VALUE!</v>
      </c>
      <c r="AM171" s="227" t="e">
        <f t="shared" ca="1" si="60"/>
        <v>#VALUE!</v>
      </c>
      <c r="AN171" s="227" t="e">
        <f t="shared" ca="1" si="60"/>
        <v>#VALUE!</v>
      </c>
      <c r="AO171" s="227" t="e">
        <f t="shared" ca="1" si="60"/>
        <v>#VALUE!</v>
      </c>
      <c r="AP171" s="227" t="e">
        <f t="shared" ca="1" si="60"/>
        <v>#VALUE!</v>
      </c>
    </row>
    <row r="172" spans="1:42">
      <c r="A172" s="61" t="str">
        <f>'[5]TS BYDem'!A111</f>
        <v>*</v>
      </c>
      <c r="B172" s="227" t="s">
        <v>295</v>
      </c>
      <c r="C172" s="227" t="s">
        <v>138</v>
      </c>
      <c r="D172" s="227">
        <f>'[5]TS BYDem'!D111</f>
        <v>0</v>
      </c>
      <c r="E172" s="227" t="s">
        <v>138</v>
      </c>
      <c r="F172" s="227" t="s">
        <v>138</v>
      </c>
      <c r="G172" s="227" t="s">
        <v>138</v>
      </c>
      <c r="H172" s="227" t="s">
        <v>138</v>
      </c>
      <c r="I172" s="227">
        <v>0</v>
      </c>
      <c r="J172" s="227" t="str">
        <f>INDEX('[5]TS BYDem'!$J$10:$J$203,MATCH(D172,'[5]TS BYDem'!$D$10:$D$203,0))</f>
        <v/>
      </c>
      <c r="K172" s="227" t="e">
        <f t="shared" ca="1" si="58"/>
        <v>#VALUE!</v>
      </c>
      <c r="L172" s="227" t="e">
        <f t="shared" ca="1" si="58"/>
        <v>#VALUE!</v>
      </c>
      <c r="M172" s="227" t="e">
        <f t="shared" ca="1" si="58"/>
        <v>#VALUE!</v>
      </c>
      <c r="N172" s="227" t="e">
        <f t="shared" ca="1" si="58"/>
        <v>#VALUE!</v>
      </c>
      <c r="O172" s="227" t="e">
        <f t="shared" ca="1" si="59"/>
        <v>#VALUE!</v>
      </c>
      <c r="P172" s="227" t="e">
        <f t="shared" ca="1" si="59"/>
        <v>#VALUE!</v>
      </c>
      <c r="Q172" s="227" t="e">
        <f t="shared" ca="1" si="59"/>
        <v>#VALUE!</v>
      </c>
      <c r="R172" s="227" t="e">
        <f t="shared" ca="1" si="59"/>
        <v>#VALUE!</v>
      </c>
      <c r="S172" s="227" t="e">
        <f t="shared" ca="1" si="59"/>
        <v>#VALUE!</v>
      </c>
      <c r="T172" s="227" t="e">
        <f t="shared" ca="1" si="59"/>
        <v>#VALUE!</v>
      </c>
      <c r="U172" s="227" t="e">
        <f t="shared" ca="1" si="59"/>
        <v>#VALUE!</v>
      </c>
      <c r="V172" s="227" t="e">
        <f t="shared" ca="1" si="59"/>
        <v>#VALUE!</v>
      </c>
      <c r="W172" s="227" t="e">
        <f t="shared" ca="1" si="59"/>
        <v>#VALUE!</v>
      </c>
      <c r="X172" s="227" t="e">
        <f t="shared" ca="1" si="59"/>
        <v>#VALUE!</v>
      </c>
      <c r="Y172" s="227" t="e">
        <f t="shared" ca="1" si="59"/>
        <v>#VALUE!</v>
      </c>
      <c r="Z172" s="227" t="e">
        <f t="shared" ca="1" si="59"/>
        <v>#VALUE!</v>
      </c>
      <c r="AA172" s="227" t="e">
        <f t="shared" ca="1" si="59"/>
        <v>#VALUE!</v>
      </c>
      <c r="AB172" s="227" t="e">
        <f t="shared" ca="1" si="59"/>
        <v>#VALUE!</v>
      </c>
      <c r="AC172" s="227" t="e">
        <f t="shared" ca="1" si="59"/>
        <v>#VALUE!</v>
      </c>
      <c r="AD172" s="227" t="e">
        <f t="shared" ca="1" si="59"/>
        <v>#VALUE!</v>
      </c>
      <c r="AE172" s="227" t="e">
        <f t="shared" ca="1" si="60"/>
        <v>#VALUE!</v>
      </c>
      <c r="AF172" s="227" t="e">
        <f t="shared" ca="1" si="60"/>
        <v>#VALUE!</v>
      </c>
      <c r="AG172" s="227" t="e">
        <f t="shared" ca="1" si="60"/>
        <v>#VALUE!</v>
      </c>
      <c r="AH172" s="227" t="e">
        <f t="shared" ca="1" si="60"/>
        <v>#VALUE!</v>
      </c>
      <c r="AI172" s="227" t="e">
        <f t="shared" ca="1" si="60"/>
        <v>#VALUE!</v>
      </c>
      <c r="AJ172" s="227" t="e">
        <f t="shared" ca="1" si="60"/>
        <v>#VALUE!</v>
      </c>
      <c r="AK172" s="227" t="e">
        <f t="shared" ca="1" si="60"/>
        <v>#VALUE!</v>
      </c>
      <c r="AL172" s="227" t="e">
        <f t="shared" ca="1" si="60"/>
        <v>#VALUE!</v>
      </c>
      <c r="AM172" s="227" t="e">
        <f t="shared" ca="1" si="60"/>
        <v>#VALUE!</v>
      </c>
      <c r="AN172" s="227" t="e">
        <f t="shared" ca="1" si="60"/>
        <v>#VALUE!</v>
      </c>
      <c r="AO172" s="227" t="e">
        <f t="shared" ca="1" si="60"/>
        <v>#VALUE!</v>
      </c>
      <c r="AP172" s="227" t="e">
        <f t="shared" ca="1" si="60"/>
        <v>#VALUE!</v>
      </c>
    </row>
    <row r="173" spans="1:42" s="5" customFormat="1">
      <c r="A173" s="61" t="str">
        <f>'[5]TS BYDem'!A108</f>
        <v>*</v>
      </c>
      <c r="B173" s="5">
        <f>B154+1</f>
        <v>6</v>
      </c>
      <c r="C173" s="3" t="str">
        <f ca="1">OFFSET($C$9,$B173,0)</f>
        <v>N.M.M Products</v>
      </c>
      <c r="D173" s="3" t="str">
        <f ca="1">OFFSET($B$9,$B173,0)</f>
        <v>NM</v>
      </c>
      <c r="J173" s="5">
        <f ca="1">SUMIF($B$10:$B$22,$D173,J$10:J$22)*SUMIF($B$10:$B$22,$D173,J$41:J$53)</f>
        <v>5.9849543682039097E-2</v>
      </c>
      <c r="K173" s="5">
        <f t="shared" ref="K173:AP173" ca="1" si="63">SUMIF($B$10:$B$22,$D173,K$10:K$22)*SUMIF($B$10:$B$22,$D173,K$41:K$53)</f>
        <v>6.0944052898466113E-2</v>
      </c>
      <c r="L173" s="5">
        <f t="shared" ca="1" si="63"/>
        <v>6.2038562114893128E-2</v>
      </c>
      <c r="M173" s="5">
        <f t="shared" ca="1" si="63"/>
        <v>6.3133071331320137E-2</v>
      </c>
      <c r="N173" s="5">
        <f t="shared" ca="1" si="63"/>
        <v>6.3699818153182625E-2</v>
      </c>
      <c r="O173" s="5">
        <f t="shared" ca="1" si="63"/>
        <v>6.4266564975045112E-2</v>
      </c>
      <c r="P173" s="5">
        <f t="shared" ca="1" si="63"/>
        <v>6.48333117969076E-2</v>
      </c>
      <c r="Q173" s="5">
        <f t="shared" ca="1" si="63"/>
        <v>6.5400058618770088E-2</v>
      </c>
      <c r="R173" s="5">
        <f t="shared" ca="1" si="63"/>
        <v>6.5966805440632589E-2</v>
      </c>
      <c r="S173" s="5">
        <f t="shared" ca="1" si="63"/>
        <v>6.7362440487984745E-2</v>
      </c>
      <c r="T173" s="5">
        <f t="shared" ca="1" si="63"/>
        <v>6.8758075535336902E-2</v>
      </c>
      <c r="U173" s="5">
        <f t="shared" ca="1" si="63"/>
        <v>7.0153710582689058E-2</v>
      </c>
      <c r="V173" s="5">
        <f t="shared" ca="1" si="63"/>
        <v>7.1549345630041214E-2</v>
      </c>
      <c r="W173" s="5">
        <f t="shared" ca="1" si="63"/>
        <v>7.2944980677393398E-2</v>
      </c>
      <c r="X173" s="5">
        <f t="shared" ca="1" si="63"/>
        <v>7.4803580615183315E-2</v>
      </c>
      <c r="Y173" s="5">
        <f t="shared" ca="1" si="63"/>
        <v>7.6662180552973233E-2</v>
      </c>
      <c r="Z173" s="5">
        <f t="shared" ca="1" si="63"/>
        <v>7.8520780490763151E-2</v>
      </c>
      <c r="AA173" s="5">
        <f t="shared" ca="1" si="63"/>
        <v>8.0379380428553068E-2</v>
      </c>
      <c r="AB173" s="5">
        <f t="shared" ca="1" si="63"/>
        <v>8.2237980366343014E-2</v>
      </c>
      <c r="AC173" s="5">
        <f t="shared" ca="1" si="63"/>
        <v>8.4237711706209722E-2</v>
      </c>
      <c r="AD173" s="5">
        <f t="shared" ca="1" si="63"/>
        <v>8.6237443046076431E-2</v>
      </c>
      <c r="AE173" s="5">
        <f t="shared" ca="1" si="63"/>
        <v>8.823717438594314E-2</v>
      </c>
      <c r="AF173" s="5">
        <f t="shared" ca="1" si="63"/>
        <v>9.0236905725809849E-2</v>
      </c>
      <c r="AG173" s="5">
        <f t="shared" ca="1" si="63"/>
        <v>9.2236637065676572E-2</v>
      </c>
      <c r="AH173" s="5">
        <f t="shared" ca="1" si="63"/>
        <v>9.4475740947134984E-2</v>
      </c>
      <c r="AI173" s="5">
        <f t="shared" ca="1" si="63"/>
        <v>9.6714844828593396E-2</v>
      </c>
      <c r="AJ173" s="5">
        <f t="shared" ca="1" si="63"/>
        <v>9.8953948710051809E-2</v>
      </c>
      <c r="AK173" s="5">
        <f t="shared" ca="1" si="63"/>
        <v>0.10119305259151022</v>
      </c>
      <c r="AL173" s="5">
        <f t="shared" ca="1" si="63"/>
        <v>0.10343215647296862</v>
      </c>
      <c r="AM173" s="5">
        <f t="shared" ca="1" si="63"/>
        <v>0.11501031734065628</v>
      </c>
      <c r="AN173" s="5">
        <f t="shared" ca="1" si="63"/>
        <v>0.12711968585030231</v>
      </c>
      <c r="AO173" s="5">
        <f t="shared" ca="1" si="63"/>
        <v>0.15071868062064286</v>
      </c>
      <c r="AP173" s="5">
        <f t="shared" ca="1" si="63"/>
        <v>0.17440620999797662</v>
      </c>
    </row>
    <row r="174" spans="1:42">
      <c r="A174" s="61" t="str">
        <f>'[5]TS BYDem'!A113</f>
        <v>*</v>
      </c>
      <c r="B174" s="227" t="s">
        <v>295</v>
      </c>
      <c r="C174" s="227" t="s">
        <v>138</v>
      </c>
      <c r="D174" s="227" t="str">
        <f>'[5]TS BYDem'!D113</f>
        <v>INMK</v>
      </c>
      <c r="E174" s="227" t="s">
        <v>138</v>
      </c>
      <c r="F174" s="227" t="s">
        <v>138</v>
      </c>
      <c r="G174" s="227" t="s">
        <v>138</v>
      </c>
      <c r="H174" s="227" t="s">
        <v>138</v>
      </c>
      <c r="I174" s="227">
        <v>0</v>
      </c>
      <c r="J174" s="227" t="str">
        <f>INDEX('[5]TS BYDem'!$J$10:$J$203,MATCH(D174,'[5]TS BYDem'!$D$10:$D$203,0))</f>
        <v/>
      </c>
      <c r="K174" s="227" t="e">
        <f t="shared" ref="K174:Z189" ca="1" si="64">K$173/J$173*J174</f>
        <v>#VALUE!</v>
      </c>
      <c r="L174" s="227" t="e">
        <f t="shared" ca="1" si="64"/>
        <v>#VALUE!</v>
      </c>
      <c r="M174" s="227" t="e">
        <f t="shared" ca="1" si="64"/>
        <v>#VALUE!</v>
      </c>
      <c r="N174" s="227" t="e">
        <f t="shared" ca="1" si="64"/>
        <v>#VALUE!</v>
      </c>
      <c r="O174" s="227" t="e">
        <f t="shared" ca="1" si="64"/>
        <v>#VALUE!</v>
      </c>
      <c r="P174" s="227" t="e">
        <f t="shared" ca="1" si="64"/>
        <v>#VALUE!</v>
      </c>
      <c r="Q174" s="227" t="e">
        <f t="shared" ca="1" si="64"/>
        <v>#VALUE!</v>
      </c>
      <c r="R174" s="227" t="e">
        <f t="shared" ca="1" si="64"/>
        <v>#VALUE!</v>
      </c>
      <c r="S174" s="227" t="e">
        <f t="shared" ca="1" si="64"/>
        <v>#VALUE!</v>
      </c>
      <c r="T174" s="227" t="e">
        <f t="shared" ca="1" si="64"/>
        <v>#VALUE!</v>
      </c>
      <c r="U174" s="227" t="e">
        <f t="shared" ca="1" si="64"/>
        <v>#VALUE!</v>
      </c>
      <c r="V174" s="227" t="e">
        <f t="shared" ca="1" si="64"/>
        <v>#VALUE!</v>
      </c>
      <c r="W174" s="227" t="e">
        <f t="shared" ca="1" si="64"/>
        <v>#VALUE!</v>
      </c>
      <c r="X174" s="227" t="e">
        <f t="shared" ca="1" si="64"/>
        <v>#VALUE!</v>
      </c>
      <c r="Y174" s="227" t="e">
        <f t="shared" ca="1" si="64"/>
        <v>#VALUE!</v>
      </c>
      <c r="Z174" s="227" t="e">
        <f t="shared" ca="1" si="64"/>
        <v>#VALUE!</v>
      </c>
      <c r="AA174" s="227" t="e">
        <f t="shared" ref="AA174:AP189" ca="1" si="65">AA$173/Z$173*Z174</f>
        <v>#VALUE!</v>
      </c>
      <c r="AB174" s="227" t="e">
        <f t="shared" ca="1" si="65"/>
        <v>#VALUE!</v>
      </c>
      <c r="AC174" s="227" t="e">
        <f t="shared" ca="1" si="65"/>
        <v>#VALUE!</v>
      </c>
      <c r="AD174" s="227" t="e">
        <f t="shared" ca="1" si="65"/>
        <v>#VALUE!</v>
      </c>
      <c r="AE174" s="227" t="e">
        <f t="shared" ca="1" si="65"/>
        <v>#VALUE!</v>
      </c>
      <c r="AF174" s="227" t="e">
        <f t="shared" ca="1" si="65"/>
        <v>#VALUE!</v>
      </c>
      <c r="AG174" s="227" t="e">
        <f t="shared" ca="1" si="65"/>
        <v>#VALUE!</v>
      </c>
      <c r="AH174" s="227" t="e">
        <f t="shared" ca="1" si="65"/>
        <v>#VALUE!</v>
      </c>
      <c r="AI174" s="227" t="e">
        <f t="shared" ca="1" si="65"/>
        <v>#VALUE!</v>
      </c>
      <c r="AJ174" s="227" t="e">
        <f t="shared" ca="1" si="65"/>
        <v>#VALUE!</v>
      </c>
      <c r="AK174" s="227" t="e">
        <f t="shared" ca="1" si="65"/>
        <v>#VALUE!</v>
      </c>
      <c r="AL174" s="227" t="e">
        <f t="shared" ca="1" si="65"/>
        <v>#VALUE!</v>
      </c>
      <c r="AM174" s="227" t="e">
        <f t="shared" ca="1" si="65"/>
        <v>#VALUE!</v>
      </c>
      <c r="AN174" s="227" t="e">
        <f t="shared" ca="1" si="65"/>
        <v>#VALUE!</v>
      </c>
      <c r="AO174" s="227" t="e">
        <f t="shared" ca="1" si="65"/>
        <v>#VALUE!</v>
      </c>
      <c r="AP174" s="227" t="e">
        <f t="shared" ca="1" si="65"/>
        <v>#VALUE!</v>
      </c>
    </row>
    <row r="175" spans="1:42">
      <c r="A175" s="61" t="str">
        <f>'[5]TS BYDem'!A114</f>
        <v>*</v>
      </c>
      <c r="B175" s="227" t="s">
        <v>295</v>
      </c>
      <c r="C175" s="227" t="s">
        <v>138</v>
      </c>
      <c r="D175" s="227" t="str">
        <f>'[5]TS BYDem'!D114</f>
        <v>INMA</v>
      </c>
      <c r="E175" s="227" t="s">
        <v>138</v>
      </c>
      <c r="F175" s="227" t="s">
        <v>138</v>
      </c>
      <c r="G175" s="227" t="s">
        <v>138</v>
      </c>
      <c r="H175" s="227" t="s">
        <v>138</v>
      </c>
      <c r="I175" s="227">
        <v>0</v>
      </c>
      <c r="J175" s="227" t="str">
        <f>INDEX('[5]TS BYDem'!$J$10:$J$203,MATCH(D175,'[5]TS BYDem'!$D$10:$D$203,0))</f>
        <v/>
      </c>
      <c r="K175" s="227" t="e">
        <f t="shared" ca="1" si="64"/>
        <v>#VALUE!</v>
      </c>
      <c r="L175" s="227" t="e">
        <f t="shared" ca="1" si="64"/>
        <v>#VALUE!</v>
      </c>
      <c r="M175" s="227" t="e">
        <f t="shared" ca="1" si="64"/>
        <v>#VALUE!</v>
      </c>
      <c r="N175" s="227" t="e">
        <f t="shared" ca="1" si="64"/>
        <v>#VALUE!</v>
      </c>
      <c r="O175" s="227" t="e">
        <f t="shared" ca="1" si="64"/>
        <v>#VALUE!</v>
      </c>
      <c r="P175" s="227" t="e">
        <f t="shared" ca="1" si="64"/>
        <v>#VALUE!</v>
      </c>
      <c r="Q175" s="227" t="e">
        <f t="shared" ca="1" si="64"/>
        <v>#VALUE!</v>
      </c>
      <c r="R175" s="227" t="e">
        <f t="shared" ca="1" si="64"/>
        <v>#VALUE!</v>
      </c>
      <c r="S175" s="227" t="e">
        <f t="shared" ca="1" si="64"/>
        <v>#VALUE!</v>
      </c>
      <c r="T175" s="227" t="e">
        <f t="shared" ca="1" si="64"/>
        <v>#VALUE!</v>
      </c>
      <c r="U175" s="227" t="e">
        <f t="shared" ca="1" si="64"/>
        <v>#VALUE!</v>
      </c>
      <c r="V175" s="227" t="e">
        <f t="shared" ca="1" si="64"/>
        <v>#VALUE!</v>
      </c>
      <c r="W175" s="227" t="e">
        <f t="shared" ca="1" si="64"/>
        <v>#VALUE!</v>
      </c>
      <c r="X175" s="227" t="e">
        <f t="shared" ca="1" si="64"/>
        <v>#VALUE!</v>
      </c>
      <c r="Y175" s="227" t="e">
        <f t="shared" ca="1" si="64"/>
        <v>#VALUE!</v>
      </c>
      <c r="Z175" s="227" t="e">
        <f t="shared" ca="1" si="64"/>
        <v>#VALUE!</v>
      </c>
      <c r="AA175" s="227" t="e">
        <f t="shared" ca="1" si="65"/>
        <v>#VALUE!</v>
      </c>
      <c r="AB175" s="227" t="e">
        <f t="shared" ca="1" si="65"/>
        <v>#VALUE!</v>
      </c>
      <c r="AC175" s="227" t="e">
        <f t="shared" ca="1" si="65"/>
        <v>#VALUE!</v>
      </c>
      <c r="AD175" s="227" t="e">
        <f t="shared" ca="1" si="65"/>
        <v>#VALUE!</v>
      </c>
      <c r="AE175" s="227" t="e">
        <f t="shared" ca="1" si="65"/>
        <v>#VALUE!</v>
      </c>
      <c r="AF175" s="227" t="e">
        <f t="shared" ca="1" si="65"/>
        <v>#VALUE!</v>
      </c>
      <c r="AG175" s="227" t="e">
        <f t="shared" ca="1" si="65"/>
        <v>#VALUE!</v>
      </c>
      <c r="AH175" s="227" t="e">
        <f t="shared" ca="1" si="65"/>
        <v>#VALUE!</v>
      </c>
      <c r="AI175" s="227" t="e">
        <f t="shared" ca="1" si="65"/>
        <v>#VALUE!</v>
      </c>
      <c r="AJ175" s="227" t="e">
        <f t="shared" ca="1" si="65"/>
        <v>#VALUE!</v>
      </c>
      <c r="AK175" s="227" t="e">
        <f t="shared" ca="1" si="65"/>
        <v>#VALUE!</v>
      </c>
      <c r="AL175" s="227" t="e">
        <f t="shared" ca="1" si="65"/>
        <v>#VALUE!</v>
      </c>
      <c r="AM175" s="227" t="e">
        <f t="shared" ca="1" si="65"/>
        <v>#VALUE!</v>
      </c>
      <c r="AN175" s="227" t="e">
        <f t="shared" ca="1" si="65"/>
        <v>#VALUE!</v>
      </c>
      <c r="AO175" s="227" t="e">
        <f t="shared" ca="1" si="65"/>
        <v>#VALUE!</v>
      </c>
      <c r="AP175" s="227" t="e">
        <f t="shared" ca="1" si="65"/>
        <v>#VALUE!</v>
      </c>
    </row>
    <row r="176" spans="1:42">
      <c r="A176" s="61" t="str">
        <f>'[5]TS BYDem'!A115</f>
        <v>*</v>
      </c>
      <c r="B176" s="227" t="s">
        <v>295</v>
      </c>
      <c r="C176" s="227" t="s">
        <v>138</v>
      </c>
      <c r="D176" s="227" t="str">
        <f>'[5]TS BYDem'!D115</f>
        <v>INML</v>
      </c>
      <c r="E176" s="227" t="s">
        <v>138</v>
      </c>
      <c r="F176" s="227" t="s">
        <v>138</v>
      </c>
      <c r="G176" s="227" t="s">
        <v>138</v>
      </c>
      <c r="H176" s="227" t="s">
        <v>138</v>
      </c>
      <c r="I176" s="227">
        <v>0</v>
      </c>
      <c r="J176" s="227" t="str">
        <f>INDEX('[5]TS BYDem'!$J$10:$J$203,MATCH(D176,'[5]TS BYDem'!$D$10:$D$203,0))</f>
        <v/>
      </c>
      <c r="K176" s="227" t="e">
        <f t="shared" ca="1" si="64"/>
        <v>#VALUE!</v>
      </c>
      <c r="L176" s="227" t="e">
        <f t="shared" ca="1" si="64"/>
        <v>#VALUE!</v>
      </c>
      <c r="M176" s="227" t="e">
        <f t="shared" ca="1" si="64"/>
        <v>#VALUE!</v>
      </c>
      <c r="N176" s="227" t="e">
        <f t="shared" ca="1" si="64"/>
        <v>#VALUE!</v>
      </c>
      <c r="O176" s="227" t="e">
        <f t="shared" ca="1" si="64"/>
        <v>#VALUE!</v>
      </c>
      <c r="P176" s="227" t="e">
        <f t="shared" ca="1" si="64"/>
        <v>#VALUE!</v>
      </c>
      <c r="Q176" s="227" t="e">
        <f t="shared" ca="1" si="64"/>
        <v>#VALUE!</v>
      </c>
      <c r="R176" s="227" t="e">
        <f t="shared" ca="1" si="64"/>
        <v>#VALUE!</v>
      </c>
      <c r="S176" s="227" t="e">
        <f t="shared" ca="1" si="64"/>
        <v>#VALUE!</v>
      </c>
      <c r="T176" s="227" t="e">
        <f t="shared" ca="1" si="64"/>
        <v>#VALUE!</v>
      </c>
      <c r="U176" s="227" t="e">
        <f t="shared" ca="1" si="64"/>
        <v>#VALUE!</v>
      </c>
      <c r="V176" s="227" t="e">
        <f t="shared" ca="1" si="64"/>
        <v>#VALUE!</v>
      </c>
      <c r="W176" s="227" t="e">
        <f t="shared" ca="1" si="64"/>
        <v>#VALUE!</v>
      </c>
      <c r="X176" s="227" t="e">
        <f t="shared" ca="1" si="64"/>
        <v>#VALUE!</v>
      </c>
      <c r="Y176" s="227" t="e">
        <f t="shared" ca="1" si="64"/>
        <v>#VALUE!</v>
      </c>
      <c r="Z176" s="227" t="e">
        <f t="shared" ca="1" si="64"/>
        <v>#VALUE!</v>
      </c>
      <c r="AA176" s="227" t="e">
        <f t="shared" ca="1" si="65"/>
        <v>#VALUE!</v>
      </c>
      <c r="AB176" s="227" t="e">
        <f t="shared" ca="1" si="65"/>
        <v>#VALUE!</v>
      </c>
      <c r="AC176" s="227" t="e">
        <f t="shared" ca="1" si="65"/>
        <v>#VALUE!</v>
      </c>
      <c r="AD176" s="227" t="e">
        <f t="shared" ca="1" si="65"/>
        <v>#VALUE!</v>
      </c>
      <c r="AE176" s="227" t="e">
        <f t="shared" ca="1" si="65"/>
        <v>#VALUE!</v>
      </c>
      <c r="AF176" s="227" t="e">
        <f t="shared" ca="1" si="65"/>
        <v>#VALUE!</v>
      </c>
      <c r="AG176" s="227" t="e">
        <f t="shared" ca="1" si="65"/>
        <v>#VALUE!</v>
      </c>
      <c r="AH176" s="227" t="e">
        <f t="shared" ca="1" si="65"/>
        <v>#VALUE!</v>
      </c>
      <c r="AI176" s="227" t="e">
        <f t="shared" ca="1" si="65"/>
        <v>#VALUE!</v>
      </c>
      <c r="AJ176" s="227" t="e">
        <f t="shared" ca="1" si="65"/>
        <v>#VALUE!</v>
      </c>
      <c r="AK176" s="227" t="e">
        <f t="shared" ca="1" si="65"/>
        <v>#VALUE!</v>
      </c>
      <c r="AL176" s="227" t="e">
        <f t="shared" ca="1" si="65"/>
        <v>#VALUE!</v>
      </c>
      <c r="AM176" s="227" t="e">
        <f t="shared" ca="1" si="65"/>
        <v>#VALUE!</v>
      </c>
      <c r="AN176" s="227" t="e">
        <f t="shared" ca="1" si="65"/>
        <v>#VALUE!</v>
      </c>
      <c r="AO176" s="227" t="e">
        <f t="shared" ca="1" si="65"/>
        <v>#VALUE!</v>
      </c>
      <c r="AP176" s="227" t="e">
        <f t="shared" ca="1" si="65"/>
        <v>#VALUE!</v>
      </c>
    </row>
    <row r="177" spans="1:42">
      <c r="A177" s="61" t="str">
        <f>'[5]TS BYDem'!A116</f>
        <v>*</v>
      </c>
      <c r="B177" s="227" t="s">
        <v>295</v>
      </c>
      <c r="C177" s="227" t="s">
        <v>138</v>
      </c>
      <c r="D177" s="227" t="str">
        <f>'[5]TS BYDem'!D116</f>
        <v>INMC</v>
      </c>
      <c r="E177" s="227" t="s">
        <v>138</v>
      </c>
      <c r="F177" s="227" t="s">
        <v>138</v>
      </c>
      <c r="G177" s="227" t="s">
        <v>138</v>
      </c>
      <c r="H177" s="227" t="s">
        <v>138</v>
      </c>
      <c r="I177" s="227">
        <v>0</v>
      </c>
      <c r="J177" s="227" t="str">
        <f>INDEX('[5]TS BYDem'!$J$10:$J$203,MATCH(D177,'[5]TS BYDem'!$D$10:$D$203,0))</f>
        <v/>
      </c>
      <c r="K177" s="227" t="e">
        <f t="shared" ca="1" si="64"/>
        <v>#VALUE!</v>
      </c>
      <c r="L177" s="227" t="e">
        <f t="shared" ca="1" si="64"/>
        <v>#VALUE!</v>
      </c>
      <c r="M177" s="227" t="e">
        <f t="shared" ca="1" si="64"/>
        <v>#VALUE!</v>
      </c>
      <c r="N177" s="227" t="e">
        <f t="shared" ca="1" si="64"/>
        <v>#VALUE!</v>
      </c>
      <c r="O177" s="227" t="e">
        <f t="shared" ca="1" si="64"/>
        <v>#VALUE!</v>
      </c>
      <c r="P177" s="227" t="e">
        <f t="shared" ca="1" si="64"/>
        <v>#VALUE!</v>
      </c>
      <c r="Q177" s="227" t="e">
        <f t="shared" ca="1" si="64"/>
        <v>#VALUE!</v>
      </c>
      <c r="R177" s="227" t="e">
        <f t="shared" ca="1" si="64"/>
        <v>#VALUE!</v>
      </c>
      <c r="S177" s="227" t="e">
        <f t="shared" ca="1" si="64"/>
        <v>#VALUE!</v>
      </c>
      <c r="T177" s="227" t="e">
        <f t="shared" ca="1" si="64"/>
        <v>#VALUE!</v>
      </c>
      <c r="U177" s="227" t="e">
        <f t="shared" ca="1" si="64"/>
        <v>#VALUE!</v>
      </c>
      <c r="V177" s="227" t="e">
        <f t="shared" ca="1" si="64"/>
        <v>#VALUE!</v>
      </c>
      <c r="W177" s="227" t="e">
        <f t="shared" ca="1" si="64"/>
        <v>#VALUE!</v>
      </c>
      <c r="X177" s="227" t="e">
        <f t="shared" ca="1" si="64"/>
        <v>#VALUE!</v>
      </c>
      <c r="Y177" s="227" t="e">
        <f t="shared" ca="1" si="64"/>
        <v>#VALUE!</v>
      </c>
      <c r="Z177" s="227" t="e">
        <f t="shared" ca="1" si="64"/>
        <v>#VALUE!</v>
      </c>
      <c r="AA177" s="227" t="e">
        <f t="shared" ca="1" si="65"/>
        <v>#VALUE!</v>
      </c>
      <c r="AB177" s="227" t="e">
        <f t="shared" ca="1" si="65"/>
        <v>#VALUE!</v>
      </c>
      <c r="AC177" s="227" t="e">
        <f t="shared" ca="1" si="65"/>
        <v>#VALUE!</v>
      </c>
      <c r="AD177" s="227" t="e">
        <f t="shared" ca="1" si="65"/>
        <v>#VALUE!</v>
      </c>
      <c r="AE177" s="227" t="e">
        <f t="shared" ca="1" si="65"/>
        <v>#VALUE!</v>
      </c>
      <c r="AF177" s="227" t="e">
        <f t="shared" ca="1" si="65"/>
        <v>#VALUE!</v>
      </c>
      <c r="AG177" s="227" t="e">
        <f t="shared" ca="1" si="65"/>
        <v>#VALUE!</v>
      </c>
      <c r="AH177" s="227" t="e">
        <f t="shared" ca="1" si="65"/>
        <v>#VALUE!</v>
      </c>
      <c r="AI177" s="227" t="e">
        <f t="shared" ca="1" si="65"/>
        <v>#VALUE!</v>
      </c>
      <c r="AJ177" s="227" t="e">
        <f t="shared" ca="1" si="65"/>
        <v>#VALUE!</v>
      </c>
      <c r="AK177" s="227" t="e">
        <f t="shared" ca="1" si="65"/>
        <v>#VALUE!</v>
      </c>
      <c r="AL177" s="227" t="e">
        <f t="shared" ca="1" si="65"/>
        <v>#VALUE!</v>
      </c>
      <c r="AM177" s="227" t="e">
        <f t="shared" ca="1" si="65"/>
        <v>#VALUE!</v>
      </c>
      <c r="AN177" s="227" t="e">
        <f t="shared" ca="1" si="65"/>
        <v>#VALUE!</v>
      </c>
      <c r="AO177" s="227" t="e">
        <f t="shared" ca="1" si="65"/>
        <v>#VALUE!</v>
      </c>
      <c r="AP177" s="227" t="e">
        <f t="shared" ca="1" si="65"/>
        <v>#VALUE!</v>
      </c>
    </row>
    <row r="178" spans="1:42">
      <c r="A178" s="61" t="str">
        <f>'[5]TS BYDem'!A117</f>
        <v>*</v>
      </c>
      <c r="B178" s="227" t="s">
        <v>295</v>
      </c>
      <c r="C178" s="227" t="s">
        <v>138</v>
      </c>
      <c r="D178" s="227" t="str">
        <f>'[5]TS BYDem'!D117</f>
        <v>INMH</v>
      </c>
      <c r="E178" s="227" t="s">
        <v>138</v>
      </c>
      <c r="F178" s="227" t="s">
        <v>138</v>
      </c>
      <c r="G178" s="227" t="s">
        <v>138</v>
      </c>
      <c r="H178" s="227" t="s">
        <v>138</v>
      </c>
      <c r="I178" s="227">
        <v>0</v>
      </c>
      <c r="J178" s="227" t="str">
        <f>INDEX('[5]TS BYDem'!$J$10:$J$203,MATCH(D178,'[5]TS BYDem'!$D$10:$D$203,0))</f>
        <v/>
      </c>
      <c r="K178" s="227" t="e">
        <f t="shared" ca="1" si="64"/>
        <v>#VALUE!</v>
      </c>
      <c r="L178" s="227" t="e">
        <f t="shared" ca="1" si="64"/>
        <v>#VALUE!</v>
      </c>
      <c r="M178" s="227" t="e">
        <f t="shared" ca="1" si="64"/>
        <v>#VALUE!</v>
      </c>
      <c r="N178" s="227" t="e">
        <f t="shared" ca="1" si="64"/>
        <v>#VALUE!</v>
      </c>
      <c r="O178" s="227" t="e">
        <f t="shared" ca="1" si="64"/>
        <v>#VALUE!</v>
      </c>
      <c r="P178" s="227" t="e">
        <f t="shared" ca="1" si="64"/>
        <v>#VALUE!</v>
      </c>
      <c r="Q178" s="227" t="e">
        <f t="shared" ca="1" si="64"/>
        <v>#VALUE!</v>
      </c>
      <c r="R178" s="227" t="e">
        <f t="shared" ca="1" si="64"/>
        <v>#VALUE!</v>
      </c>
      <c r="S178" s="227" t="e">
        <f t="shared" ca="1" si="64"/>
        <v>#VALUE!</v>
      </c>
      <c r="T178" s="227" t="e">
        <f t="shared" ca="1" si="64"/>
        <v>#VALUE!</v>
      </c>
      <c r="U178" s="227" t="e">
        <f t="shared" ca="1" si="64"/>
        <v>#VALUE!</v>
      </c>
      <c r="V178" s="227" t="e">
        <f t="shared" ca="1" si="64"/>
        <v>#VALUE!</v>
      </c>
      <c r="W178" s="227" t="e">
        <f t="shared" ca="1" si="64"/>
        <v>#VALUE!</v>
      </c>
      <c r="X178" s="227" t="e">
        <f t="shared" ca="1" si="64"/>
        <v>#VALUE!</v>
      </c>
      <c r="Y178" s="227" t="e">
        <f t="shared" ca="1" si="64"/>
        <v>#VALUE!</v>
      </c>
      <c r="Z178" s="227" t="e">
        <f t="shared" ca="1" si="64"/>
        <v>#VALUE!</v>
      </c>
      <c r="AA178" s="227" t="e">
        <f t="shared" ca="1" si="65"/>
        <v>#VALUE!</v>
      </c>
      <c r="AB178" s="227" t="e">
        <f t="shared" ca="1" si="65"/>
        <v>#VALUE!</v>
      </c>
      <c r="AC178" s="227" t="e">
        <f t="shared" ca="1" si="65"/>
        <v>#VALUE!</v>
      </c>
      <c r="AD178" s="227" t="e">
        <f t="shared" ca="1" si="65"/>
        <v>#VALUE!</v>
      </c>
      <c r="AE178" s="227" t="e">
        <f t="shared" ca="1" si="65"/>
        <v>#VALUE!</v>
      </c>
      <c r="AF178" s="227" t="e">
        <f t="shared" ca="1" si="65"/>
        <v>#VALUE!</v>
      </c>
      <c r="AG178" s="227" t="e">
        <f t="shared" ca="1" si="65"/>
        <v>#VALUE!</v>
      </c>
      <c r="AH178" s="227" t="e">
        <f t="shared" ca="1" si="65"/>
        <v>#VALUE!</v>
      </c>
      <c r="AI178" s="227" t="e">
        <f t="shared" ca="1" si="65"/>
        <v>#VALUE!</v>
      </c>
      <c r="AJ178" s="227" t="e">
        <f t="shared" ca="1" si="65"/>
        <v>#VALUE!</v>
      </c>
      <c r="AK178" s="227" t="e">
        <f t="shared" ca="1" si="65"/>
        <v>#VALUE!</v>
      </c>
      <c r="AL178" s="227" t="e">
        <f t="shared" ca="1" si="65"/>
        <v>#VALUE!</v>
      </c>
      <c r="AM178" s="227" t="e">
        <f t="shared" ca="1" si="65"/>
        <v>#VALUE!</v>
      </c>
      <c r="AN178" s="227" t="e">
        <f t="shared" ca="1" si="65"/>
        <v>#VALUE!</v>
      </c>
      <c r="AO178" s="227" t="e">
        <f t="shared" ca="1" si="65"/>
        <v>#VALUE!</v>
      </c>
      <c r="AP178" s="227" t="e">
        <f t="shared" ca="1" si="65"/>
        <v>#VALUE!</v>
      </c>
    </row>
    <row r="179" spans="1:42">
      <c r="A179" s="61" t="str">
        <f>'[5]TS BYDem'!A118</f>
        <v>*</v>
      </c>
      <c r="B179" s="227" t="s">
        <v>295</v>
      </c>
      <c r="C179" s="227" t="s">
        <v>138</v>
      </c>
      <c r="D179" s="227" t="str">
        <f>'[5]TS BYDem'!D118</f>
        <v>INMP</v>
      </c>
      <c r="E179" s="227" t="s">
        <v>138</v>
      </c>
      <c r="F179" s="227" t="s">
        <v>138</v>
      </c>
      <c r="G179" s="227" t="s">
        <v>138</v>
      </c>
      <c r="H179" s="227" t="s">
        <v>138</v>
      </c>
      <c r="I179" s="227">
        <v>0</v>
      </c>
      <c r="J179" s="227" t="str">
        <f>INDEX('[5]TS BYDem'!$J$10:$J$203,MATCH(D179,'[5]TS BYDem'!$D$10:$D$203,0))</f>
        <v/>
      </c>
      <c r="K179" s="227" t="e">
        <f t="shared" ca="1" si="64"/>
        <v>#VALUE!</v>
      </c>
      <c r="L179" s="227" t="e">
        <f t="shared" ca="1" si="64"/>
        <v>#VALUE!</v>
      </c>
      <c r="M179" s="227" t="e">
        <f t="shared" ca="1" si="64"/>
        <v>#VALUE!</v>
      </c>
      <c r="N179" s="227" t="e">
        <f t="shared" ca="1" si="64"/>
        <v>#VALUE!</v>
      </c>
      <c r="O179" s="227" t="e">
        <f t="shared" ca="1" si="64"/>
        <v>#VALUE!</v>
      </c>
      <c r="P179" s="227" t="e">
        <f t="shared" ca="1" si="64"/>
        <v>#VALUE!</v>
      </c>
      <c r="Q179" s="227" t="e">
        <f t="shared" ca="1" si="64"/>
        <v>#VALUE!</v>
      </c>
      <c r="R179" s="227" t="e">
        <f t="shared" ca="1" si="64"/>
        <v>#VALUE!</v>
      </c>
      <c r="S179" s="227" t="e">
        <f t="shared" ca="1" si="64"/>
        <v>#VALUE!</v>
      </c>
      <c r="T179" s="227" t="e">
        <f t="shared" ca="1" si="64"/>
        <v>#VALUE!</v>
      </c>
      <c r="U179" s="227" t="e">
        <f t="shared" ca="1" si="64"/>
        <v>#VALUE!</v>
      </c>
      <c r="V179" s="227" t="e">
        <f t="shared" ca="1" si="64"/>
        <v>#VALUE!</v>
      </c>
      <c r="W179" s="227" t="e">
        <f t="shared" ca="1" si="64"/>
        <v>#VALUE!</v>
      </c>
      <c r="X179" s="227" t="e">
        <f t="shared" ca="1" si="64"/>
        <v>#VALUE!</v>
      </c>
      <c r="Y179" s="227" t="e">
        <f t="shared" ca="1" si="64"/>
        <v>#VALUE!</v>
      </c>
      <c r="Z179" s="227" t="e">
        <f t="shared" ca="1" si="64"/>
        <v>#VALUE!</v>
      </c>
      <c r="AA179" s="227" t="e">
        <f t="shared" ca="1" si="65"/>
        <v>#VALUE!</v>
      </c>
      <c r="AB179" s="227" t="e">
        <f t="shared" ca="1" si="65"/>
        <v>#VALUE!</v>
      </c>
      <c r="AC179" s="227" t="e">
        <f t="shared" ca="1" si="65"/>
        <v>#VALUE!</v>
      </c>
      <c r="AD179" s="227" t="e">
        <f t="shared" ca="1" si="65"/>
        <v>#VALUE!</v>
      </c>
      <c r="AE179" s="227" t="e">
        <f t="shared" ca="1" si="65"/>
        <v>#VALUE!</v>
      </c>
      <c r="AF179" s="227" t="e">
        <f t="shared" ca="1" si="65"/>
        <v>#VALUE!</v>
      </c>
      <c r="AG179" s="227" t="e">
        <f t="shared" ca="1" si="65"/>
        <v>#VALUE!</v>
      </c>
      <c r="AH179" s="227" t="e">
        <f t="shared" ca="1" si="65"/>
        <v>#VALUE!</v>
      </c>
      <c r="AI179" s="227" t="e">
        <f t="shared" ca="1" si="65"/>
        <v>#VALUE!</v>
      </c>
      <c r="AJ179" s="227" t="e">
        <f t="shared" ca="1" si="65"/>
        <v>#VALUE!</v>
      </c>
      <c r="AK179" s="227" t="e">
        <f t="shared" ca="1" si="65"/>
        <v>#VALUE!</v>
      </c>
      <c r="AL179" s="227" t="e">
        <f t="shared" ca="1" si="65"/>
        <v>#VALUE!</v>
      </c>
      <c r="AM179" s="227" t="e">
        <f t="shared" ca="1" si="65"/>
        <v>#VALUE!</v>
      </c>
      <c r="AN179" s="227" t="e">
        <f t="shared" ca="1" si="65"/>
        <v>#VALUE!</v>
      </c>
      <c r="AO179" s="227" t="e">
        <f t="shared" ca="1" si="65"/>
        <v>#VALUE!</v>
      </c>
      <c r="AP179" s="227" t="e">
        <f t="shared" ca="1" si="65"/>
        <v>#VALUE!</v>
      </c>
    </row>
    <row r="180" spans="1:42">
      <c r="A180" s="61" t="str">
        <f>'[5]TS BYDem'!A119</f>
        <v>*</v>
      </c>
      <c r="B180" s="227" t="s">
        <v>295</v>
      </c>
      <c r="C180" s="227" t="s">
        <v>138</v>
      </c>
      <c r="D180" s="227" t="str">
        <f>'[5]TS BYDem'!D119</f>
        <v>INMF</v>
      </c>
      <c r="E180" s="227" t="s">
        <v>138</v>
      </c>
      <c r="F180" s="227" t="s">
        <v>138</v>
      </c>
      <c r="G180" s="227" t="s">
        <v>138</v>
      </c>
      <c r="H180" s="227" t="s">
        <v>138</v>
      </c>
      <c r="I180" s="227">
        <v>0</v>
      </c>
      <c r="J180" s="227" t="str">
        <f>INDEX('[5]TS BYDem'!$J$10:$J$203,MATCH(D180,'[5]TS BYDem'!$D$10:$D$203,0))</f>
        <v/>
      </c>
      <c r="K180" s="227" t="e">
        <f t="shared" ca="1" si="64"/>
        <v>#VALUE!</v>
      </c>
      <c r="L180" s="227" t="e">
        <f t="shared" ca="1" si="64"/>
        <v>#VALUE!</v>
      </c>
      <c r="M180" s="227" t="e">
        <f t="shared" ca="1" si="64"/>
        <v>#VALUE!</v>
      </c>
      <c r="N180" s="227" t="e">
        <f t="shared" ca="1" si="64"/>
        <v>#VALUE!</v>
      </c>
      <c r="O180" s="227" t="e">
        <f t="shared" ca="1" si="64"/>
        <v>#VALUE!</v>
      </c>
      <c r="P180" s="227" t="e">
        <f t="shared" ca="1" si="64"/>
        <v>#VALUE!</v>
      </c>
      <c r="Q180" s="227" t="e">
        <f t="shared" ca="1" si="64"/>
        <v>#VALUE!</v>
      </c>
      <c r="R180" s="227" t="e">
        <f t="shared" ca="1" si="64"/>
        <v>#VALUE!</v>
      </c>
      <c r="S180" s="227" t="e">
        <f t="shared" ca="1" si="64"/>
        <v>#VALUE!</v>
      </c>
      <c r="T180" s="227" t="e">
        <f t="shared" ca="1" si="64"/>
        <v>#VALUE!</v>
      </c>
      <c r="U180" s="227" t="e">
        <f t="shared" ca="1" si="64"/>
        <v>#VALUE!</v>
      </c>
      <c r="V180" s="227" t="e">
        <f t="shared" ca="1" si="64"/>
        <v>#VALUE!</v>
      </c>
      <c r="W180" s="227" t="e">
        <f t="shared" ca="1" si="64"/>
        <v>#VALUE!</v>
      </c>
      <c r="X180" s="227" t="e">
        <f t="shared" ca="1" si="64"/>
        <v>#VALUE!</v>
      </c>
      <c r="Y180" s="227" t="e">
        <f t="shared" ca="1" si="64"/>
        <v>#VALUE!</v>
      </c>
      <c r="Z180" s="227" t="e">
        <f t="shared" ca="1" si="64"/>
        <v>#VALUE!</v>
      </c>
      <c r="AA180" s="227" t="e">
        <f t="shared" ca="1" si="65"/>
        <v>#VALUE!</v>
      </c>
      <c r="AB180" s="227" t="e">
        <f t="shared" ca="1" si="65"/>
        <v>#VALUE!</v>
      </c>
      <c r="AC180" s="227" t="e">
        <f t="shared" ca="1" si="65"/>
        <v>#VALUE!</v>
      </c>
      <c r="AD180" s="227" t="e">
        <f t="shared" ca="1" si="65"/>
        <v>#VALUE!</v>
      </c>
      <c r="AE180" s="227" t="e">
        <f t="shared" ca="1" si="65"/>
        <v>#VALUE!</v>
      </c>
      <c r="AF180" s="227" t="e">
        <f t="shared" ca="1" si="65"/>
        <v>#VALUE!</v>
      </c>
      <c r="AG180" s="227" t="e">
        <f t="shared" ca="1" si="65"/>
        <v>#VALUE!</v>
      </c>
      <c r="AH180" s="227" t="e">
        <f t="shared" ca="1" si="65"/>
        <v>#VALUE!</v>
      </c>
      <c r="AI180" s="227" t="e">
        <f t="shared" ca="1" si="65"/>
        <v>#VALUE!</v>
      </c>
      <c r="AJ180" s="227" t="e">
        <f t="shared" ca="1" si="65"/>
        <v>#VALUE!</v>
      </c>
      <c r="AK180" s="227" t="e">
        <f t="shared" ca="1" si="65"/>
        <v>#VALUE!</v>
      </c>
      <c r="AL180" s="227" t="e">
        <f t="shared" ca="1" si="65"/>
        <v>#VALUE!</v>
      </c>
      <c r="AM180" s="227" t="e">
        <f t="shared" ca="1" si="65"/>
        <v>#VALUE!</v>
      </c>
      <c r="AN180" s="227" t="e">
        <f t="shared" ca="1" si="65"/>
        <v>#VALUE!</v>
      </c>
      <c r="AO180" s="227" t="e">
        <f t="shared" ca="1" si="65"/>
        <v>#VALUE!</v>
      </c>
      <c r="AP180" s="227" t="e">
        <f t="shared" ca="1" si="65"/>
        <v>#VALUE!</v>
      </c>
    </row>
    <row r="181" spans="1:42">
      <c r="A181" s="61" t="str">
        <f>'[5]TS BYDem'!A120</f>
        <v>*</v>
      </c>
      <c r="B181" s="227" t="s">
        <v>295</v>
      </c>
      <c r="C181" s="227" t="s">
        <v>138</v>
      </c>
      <c r="D181" s="227" t="str">
        <f>'[5]TS BYDem'!D120</f>
        <v>INMO</v>
      </c>
      <c r="E181" s="227" t="s">
        <v>138</v>
      </c>
      <c r="F181" s="227" t="s">
        <v>138</v>
      </c>
      <c r="G181" s="227" t="s">
        <v>138</v>
      </c>
      <c r="H181" s="227" t="s">
        <v>138</v>
      </c>
      <c r="I181" s="227">
        <v>0</v>
      </c>
      <c r="J181" s="227" t="str">
        <f>INDEX('[5]TS BYDem'!$J$10:$J$203,MATCH(D181,'[5]TS BYDem'!$D$10:$D$203,0))</f>
        <v/>
      </c>
      <c r="K181" s="227" t="e">
        <f t="shared" ca="1" si="64"/>
        <v>#VALUE!</v>
      </c>
      <c r="L181" s="227" t="e">
        <f t="shared" ca="1" si="64"/>
        <v>#VALUE!</v>
      </c>
      <c r="M181" s="227" t="e">
        <f t="shared" ca="1" si="64"/>
        <v>#VALUE!</v>
      </c>
      <c r="N181" s="227" t="e">
        <f t="shared" ca="1" si="64"/>
        <v>#VALUE!</v>
      </c>
      <c r="O181" s="227" t="e">
        <f t="shared" ca="1" si="64"/>
        <v>#VALUE!</v>
      </c>
      <c r="P181" s="227" t="e">
        <f t="shared" ca="1" si="64"/>
        <v>#VALUE!</v>
      </c>
      <c r="Q181" s="227" t="e">
        <f t="shared" ca="1" si="64"/>
        <v>#VALUE!</v>
      </c>
      <c r="R181" s="227" t="e">
        <f t="shared" ca="1" si="64"/>
        <v>#VALUE!</v>
      </c>
      <c r="S181" s="227" t="e">
        <f t="shared" ca="1" si="64"/>
        <v>#VALUE!</v>
      </c>
      <c r="T181" s="227" t="e">
        <f t="shared" ca="1" si="64"/>
        <v>#VALUE!</v>
      </c>
      <c r="U181" s="227" t="e">
        <f t="shared" ca="1" si="64"/>
        <v>#VALUE!</v>
      </c>
      <c r="V181" s="227" t="e">
        <f t="shared" ca="1" si="64"/>
        <v>#VALUE!</v>
      </c>
      <c r="W181" s="227" t="e">
        <f t="shared" ca="1" si="64"/>
        <v>#VALUE!</v>
      </c>
      <c r="X181" s="227" t="e">
        <f t="shared" ca="1" si="64"/>
        <v>#VALUE!</v>
      </c>
      <c r="Y181" s="227" t="e">
        <f t="shared" ca="1" si="64"/>
        <v>#VALUE!</v>
      </c>
      <c r="Z181" s="227" t="e">
        <f t="shared" ca="1" si="64"/>
        <v>#VALUE!</v>
      </c>
      <c r="AA181" s="227" t="e">
        <f t="shared" ca="1" si="65"/>
        <v>#VALUE!</v>
      </c>
      <c r="AB181" s="227" t="e">
        <f t="shared" ca="1" si="65"/>
        <v>#VALUE!</v>
      </c>
      <c r="AC181" s="227" t="e">
        <f t="shared" ca="1" si="65"/>
        <v>#VALUE!</v>
      </c>
      <c r="AD181" s="227" t="e">
        <f t="shared" ca="1" si="65"/>
        <v>#VALUE!</v>
      </c>
      <c r="AE181" s="227" t="e">
        <f t="shared" ca="1" si="65"/>
        <v>#VALUE!</v>
      </c>
      <c r="AF181" s="227" t="e">
        <f t="shared" ca="1" si="65"/>
        <v>#VALUE!</v>
      </c>
      <c r="AG181" s="227" t="e">
        <f t="shared" ca="1" si="65"/>
        <v>#VALUE!</v>
      </c>
      <c r="AH181" s="227" t="e">
        <f t="shared" ca="1" si="65"/>
        <v>#VALUE!</v>
      </c>
      <c r="AI181" s="227" t="e">
        <f t="shared" ca="1" si="65"/>
        <v>#VALUE!</v>
      </c>
      <c r="AJ181" s="227" t="e">
        <f t="shared" ca="1" si="65"/>
        <v>#VALUE!</v>
      </c>
      <c r="AK181" s="227" t="e">
        <f t="shared" ca="1" si="65"/>
        <v>#VALUE!</v>
      </c>
      <c r="AL181" s="227" t="e">
        <f t="shared" ca="1" si="65"/>
        <v>#VALUE!</v>
      </c>
      <c r="AM181" s="227" t="e">
        <f t="shared" ca="1" si="65"/>
        <v>#VALUE!</v>
      </c>
      <c r="AN181" s="227" t="e">
        <f t="shared" ca="1" si="65"/>
        <v>#VALUE!</v>
      </c>
      <c r="AO181" s="227" t="e">
        <f t="shared" ca="1" si="65"/>
        <v>#VALUE!</v>
      </c>
      <c r="AP181" s="227" t="e">
        <f t="shared" ca="1" si="65"/>
        <v>#VALUE!</v>
      </c>
    </row>
    <row r="182" spans="1:42">
      <c r="A182" s="61" t="str">
        <f>'[5]TS BYDem'!A121</f>
        <v>*</v>
      </c>
      <c r="B182" s="227" t="s">
        <v>295</v>
      </c>
      <c r="C182" s="227" t="s">
        <v>138</v>
      </c>
      <c r="D182" s="227" t="str">
        <f>'[5]TS BYDem'!D121</f>
        <v>INME</v>
      </c>
      <c r="E182" s="227" t="s">
        <v>138</v>
      </c>
      <c r="F182" s="227" t="s">
        <v>138</v>
      </c>
      <c r="G182" s="227" t="s">
        <v>138</v>
      </c>
      <c r="H182" s="227" t="s">
        <v>138</v>
      </c>
      <c r="I182" s="227">
        <v>0</v>
      </c>
      <c r="J182" s="227" t="str">
        <f>INDEX('[5]TS BYDem'!$J$10:$J$203,MATCH(D182,'[5]TS BYDem'!$D$10:$D$203,0))</f>
        <v/>
      </c>
      <c r="K182" s="227" t="e">
        <f t="shared" ca="1" si="64"/>
        <v>#VALUE!</v>
      </c>
      <c r="L182" s="227" t="e">
        <f t="shared" ca="1" si="64"/>
        <v>#VALUE!</v>
      </c>
      <c r="M182" s="227" t="e">
        <f t="shared" ca="1" si="64"/>
        <v>#VALUE!</v>
      </c>
      <c r="N182" s="227" t="e">
        <f t="shared" ca="1" si="64"/>
        <v>#VALUE!</v>
      </c>
      <c r="O182" s="227" t="e">
        <f t="shared" ca="1" si="64"/>
        <v>#VALUE!</v>
      </c>
      <c r="P182" s="227" t="e">
        <f t="shared" ca="1" si="64"/>
        <v>#VALUE!</v>
      </c>
      <c r="Q182" s="227" t="e">
        <f t="shared" ca="1" si="64"/>
        <v>#VALUE!</v>
      </c>
      <c r="R182" s="227" t="e">
        <f t="shared" ca="1" si="64"/>
        <v>#VALUE!</v>
      </c>
      <c r="S182" s="227" t="e">
        <f t="shared" ca="1" si="64"/>
        <v>#VALUE!</v>
      </c>
      <c r="T182" s="227" t="e">
        <f t="shared" ca="1" si="64"/>
        <v>#VALUE!</v>
      </c>
      <c r="U182" s="227" t="e">
        <f t="shared" ca="1" si="64"/>
        <v>#VALUE!</v>
      </c>
      <c r="V182" s="227" t="e">
        <f t="shared" ca="1" si="64"/>
        <v>#VALUE!</v>
      </c>
      <c r="W182" s="227" t="e">
        <f t="shared" ca="1" si="64"/>
        <v>#VALUE!</v>
      </c>
      <c r="X182" s="227" t="e">
        <f t="shared" ca="1" si="64"/>
        <v>#VALUE!</v>
      </c>
      <c r="Y182" s="227" t="e">
        <f t="shared" ca="1" si="64"/>
        <v>#VALUE!</v>
      </c>
      <c r="Z182" s="227" t="e">
        <f t="shared" ca="1" si="64"/>
        <v>#VALUE!</v>
      </c>
      <c r="AA182" s="227" t="e">
        <f t="shared" ca="1" si="65"/>
        <v>#VALUE!</v>
      </c>
      <c r="AB182" s="227" t="e">
        <f t="shared" ca="1" si="65"/>
        <v>#VALUE!</v>
      </c>
      <c r="AC182" s="227" t="e">
        <f t="shared" ca="1" si="65"/>
        <v>#VALUE!</v>
      </c>
      <c r="AD182" s="227" t="e">
        <f t="shared" ca="1" si="65"/>
        <v>#VALUE!</v>
      </c>
      <c r="AE182" s="227" t="e">
        <f t="shared" ca="1" si="65"/>
        <v>#VALUE!</v>
      </c>
      <c r="AF182" s="227" t="e">
        <f t="shared" ca="1" si="65"/>
        <v>#VALUE!</v>
      </c>
      <c r="AG182" s="227" t="e">
        <f t="shared" ca="1" si="65"/>
        <v>#VALUE!</v>
      </c>
      <c r="AH182" s="227" t="e">
        <f t="shared" ca="1" si="65"/>
        <v>#VALUE!</v>
      </c>
      <c r="AI182" s="227" t="e">
        <f t="shared" ca="1" si="65"/>
        <v>#VALUE!</v>
      </c>
      <c r="AJ182" s="227" t="e">
        <f t="shared" ca="1" si="65"/>
        <v>#VALUE!</v>
      </c>
      <c r="AK182" s="227" t="e">
        <f t="shared" ca="1" si="65"/>
        <v>#VALUE!</v>
      </c>
      <c r="AL182" s="227" t="e">
        <f t="shared" ca="1" si="65"/>
        <v>#VALUE!</v>
      </c>
      <c r="AM182" s="227" t="e">
        <f t="shared" ca="1" si="65"/>
        <v>#VALUE!</v>
      </c>
      <c r="AN182" s="227" t="e">
        <f t="shared" ca="1" si="65"/>
        <v>#VALUE!</v>
      </c>
      <c r="AO182" s="227" t="e">
        <f t="shared" ca="1" si="65"/>
        <v>#VALUE!</v>
      </c>
      <c r="AP182" s="227" t="e">
        <f t="shared" ca="1" si="65"/>
        <v>#VALUE!</v>
      </c>
    </row>
    <row r="183" spans="1:42">
      <c r="A183" s="61" t="str">
        <f>'[5]TS BYDem'!A122</f>
        <v>*</v>
      </c>
      <c r="B183" s="227" t="s">
        <v>295</v>
      </c>
      <c r="C183" s="227" t="s">
        <v>138</v>
      </c>
      <c r="D183" s="227" t="str">
        <f>'[5]TS BYDem'!D122</f>
        <v xml:space="preserve"> </v>
      </c>
      <c r="E183" s="227" t="s">
        <v>138</v>
      </c>
      <c r="F183" s="227" t="s">
        <v>138</v>
      </c>
      <c r="G183" s="227" t="s">
        <v>138</v>
      </c>
      <c r="H183" s="227" t="s">
        <v>138</v>
      </c>
      <c r="I183" s="227">
        <v>0</v>
      </c>
      <c r="J183" s="227" t="str">
        <f>INDEX('[5]TS BYDem'!$J$10:$J$203,MATCH(D183,'[5]TS BYDem'!$D$10:$D$203,0))</f>
        <v/>
      </c>
      <c r="K183" s="227" t="e">
        <f t="shared" ca="1" si="64"/>
        <v>#VALUE!</v>
      </c>
      <c r="L183" s="227" t="e">
        <f t="shared" ca="1" si="64"/>
        <v>#VALUE!</v>
      </c>
      <c r="M183" s="227" t="e">
        <f t="shared" ca="1" si="64"/>
        <v>#VALUE!</v>
      </c>
      <c r="N183" s="227" t="e">
        <f t="shared" ca="1" si="64"/>
        <v>#VALUE!</v>
      </c>
      <c r="O183" s="227" t="e">
        <f t="shared" ca="1" si="64"/>
        <v>#VALUE!</v>
      </c>
      <c r="P183" s="227" t="e">
        <f t="shared" ca="1" si="64"/>
        <v>#VALUE!</v>
      </c>
      <c r="Q183" s="227" t="e">
        <f t="shared" ca="1" si="64"/>
        <v>#VALUE!</v>
      </c>
      <c r="R183" s="227" t="e">
        <f t="shared" ca="1" si="64"/>
        <v>#VALUE!</v>
      </c>
      <c r="S183" s="227" t="e">
        <f t="shared" ca="1" si="64"/>
        <v>#VALUE!</v>
      </c>
      <c r="T183" s="227" t="e">
        <f t="shared" ca="1" si="64"/>
        <v>#VALUE!</v>
      </c>
      <c r="U183" s="227" t="e">
        <f t="shared" ca="1" si="64"/>
        <v>#VALUE!</v>
      </c>
      <c r="V183" s="227" t="e">
        <f t="shared" ca="1" si="64"/>
        <v>#VALUE!</v>
      </c>
      <c r="W183" s="227" t="e">
        <f t="shared" ca="1" si="64"/>
        <v>#VALUE!</v>
      </c>
      <c r="X183" s="227" t="e">
        <f t="shared" ca="1" si="64"/>
        <v>#VALUE!</v>
      </c>
      <c r="Y183" s="227" t="e">
        <f t="shared" ca="1" si="64"/>
        <v>#VALUE!</v>
      </c>
      <c r="Z183" s="227" t="e">
        <f t="shared" ca="1" si="64"/>
        <v>#VALUE!</v>
      </c>
      <c r="AA183" s="227" t="e">
        <f t="shared" ca="1" si="65"/>
        <v>#VALUE!</v>
      </c>
      <c r="AB183" s="227" t="e">
        <f t="shared" ca="1" si="65"/>
        <v>#VALUE!</v>
      </c>
      <c r="AC183" s="227" t="e">
        <f t="shared" ca="1" si="65"/>
        <v>#VALUE!</v>
      </c>
      <c r="AD183" s="227" t="e">
        <f t="shared" ca="1" si="65"/>
        <v>#VALUE!</v>
      </c>
      <c r="AE183" s="227" t="e">
        <f t="shared" ca="1" si="65"/>
        <v>#VALUE!</v>
      </c>
      <c r="AF183" s="227" t="e">
        <f t="shared" ca="1" si="65"/>
        <v>#VALUE!</v>
      </c>
      <c r="AG183" s="227" t="e">
        <f t="shared" ca="1" si="65"/>
        <v>#VALUE!</v>
      </c>
      <c r="AH183" s="227" t="e">
        <f t="shared" ca="1" si="65"/>
        <v>#VALUE!</v>
      </c>
      <c r="AI183" s="227" t="e">
        <f t="shared" ca="1" si="65"/>
        <v>#VALUE!</v>
      </c>
      <c r="AJ183" s="227" t="e">
        <f t="shared" ca="1" si="65"/>
        <v>#VALUE!</v>
      </c>
      <c r="AK183" s="227" t="e">
        <f t="shared" ca="1" si="65"/>
        <v>#VALUE!</v>
      </c>
      <c r="AL183" s="227" t="e">
        <f t="shared" ca="1" si="65"/>
        <v>#VALUE!</v>
      </c>
      <c r="AM183" s="227" t="e">
        <f t="shared" ca="1" si="65"/>
        <v>#VALUE!</v>
      </c>
      <c r="AN183" s="227" t="e">
        <f t="shared" ca="1" si="65"/>
        <v>#VALUE!</v>
      </c>
      <c r="AO183" s="227" t="e">
        <f t="shared" ca="1" si="65"/>
        <v>#VALUE!</v>
      </c>
      <c r="AP183" s="227" t="e">
        <f t="shared" ca="1" si="65"/>
        <v>#VALUE!</v>
      </c>
    </row>
    <row r="184" spans="1:42">
      <c r="A184" s="61" t="str">
        <f>'[5]TS BYDem'!A123</f>
        <v>*</v>
      </c>
      <c r="B184" s="227" t="s">
        <v>295</v>
      </c>
      <c r="C184" s="227" t="s">
        <v>138</v>
      </c>
      <c r="D184" s="227" t="str">
        <f>'[5]TS BYDem'!D123</f>
        <v>INMS</v>
      </c>
      <c r="E184" s="227" t="s">
        <v>138</v>
      </c>
      <c r="F184" s="227" t="s">
        <v>138</v>
      </c>
      <c r="G184" s="227" t="s">
        <v>138</v>
      </c>
      <c r="H184" s="227" t="s">
        <v>138</v>
      </c>
      <c r="I184" s="227">
        <v>0</v>
      </c>
      <c r="J184" s="227" t="str">
        <f>INDEX('[5]TS BYDem'!$J$10:$J$203,MATCH(D184,'[5]TS BYDem'!$D$10:$D$203,0))</f>
        <v/>
      </c>
      <c r="K184" s="227" t="e">
        <f t="shared" ca="1" si="64"/>
        <v>#VALUE!</v>
      </c>
      <c r="L184" s="227" t="e">
        <f t="shared" ca="1" si="64"/>
        <v>#VALUE!</v>
      </c>
      <c r="M184" s="227" t="e">
        <f t="shared" ca="1" si="64"/>
        <v>#VALUE!</v>
      </c>
      <c r="N184" s="227" t="e">
        <f t="shared" ca="1" si="64"/>
        <v>#VALUE!</v>
      </c>
      <c r="O184" s="227" t="e">
        <f t="shared" ca="1" si="64"/>
        <v>#VALUE!</v>
      </c>
      <c r="P184" s="227" t="e">
        <f t="shared" ca="1" si="64"/>
        <v>#VALUE!</v>
      </c>
      <c r="Q184" s="227" t="e">
        <f t="shared" ca="1" si="64"/>
        <v>#VALUE!</v>
      </c>
      <c r="R184" s="227" t="e">
        <f t="shared" ca="1" si="64"/>
        <v>#VALUE!</v>
      </c>
      <c r="S184" s="227" t="e">
        <f t="shared" ca="1" si="64"/>
        <v>#VALUE!</v>
      </c>
      <c r="T184" s="227" t="e">
        <f t="shared" ca="1" si="64"/>
        <v>#VALUE!</v>
      </c>
      <c r="U184" s="227" t="e">
        <f t="shared" ca="1" si="64"/>
        <v>#VALUE!</v>
      </c>
      <c r="V184" s="227" t="e">
        <f t="shared" ca="1" si="64"/>
        <v>#VALUE!</v>
      </c>
      <c r="W184" s="227" t="e">
        <f t="shared" ca="1" si="64"/>
        <v>#VALUE!</v>
      </c>
      <c r="X184" s="227" t="e">
        <f t="shared" ca="1" si="64"/>
        <v>#VALUE!</v>
      </c>
      <c r="Y184" s="227" t="e">
        <f t="shared" ca="1" si="64"/>
        <v>#VALUE!</v>
      </c>
      <c r="Z184" s="227" t="e">
        <f t="shared" ca="1" si="64"/>
        <v>#VALUE!</v>
      </c>
      <c r="AA184" s="227" t="e">
        <f t="shared" ca="1" si="65"/>
        <v>#VALUE!</v>
      </c>
      <c r="AB184" s="227" t="e">
        <f t="shared" ca="1" si="65"/>
        <v>#VALUE!</v>
      </c>
      <c r="AC184" s="227" t="e">
        <f t="shared" ca="1" si="65"/>
        <v>#VALUE!</v>
      </c>
      <c r="AD184" s="227" t="e">
        <f t="shared" ca="1" si="65"/>
        <v>#VALUE!</v>
      </c>
      <c r="AE184" s="227" t="e">
        <f t="shared" ca="1" si="65"/>
        <v>#VALUE!</v>
      </c>
      <c r="AF184" s="227" t="e">
        <f t="shared" ca="1" si="65"/>
        <v>#VALUE!</v>
      </c>
      <c r="AG184" s="227" t="e">
        <f t="shared" ca="1" si="65"/>
        <v>#VALUE!</v>
      </c>
      <c r="AH184" s="227" t="e">
        <f t="shared" ca="1" si="65"/>
        <v>#VALUE!</v>
      </c>
      <c r="AI184" s="227" t="e">
        <f t="shared" ca="1" si="65"/>
        <v>#VALUE!</v>
      </c>
      <c r="AJ184" s="227" t="e">
        <f t="shared" ca="1" si="65"/>
        <v>#VALUE!</v>
      </c>
      <c r="AK184" s="227" t="e">
        <f t="shared" ca="1" si="65"/>
        <v>#VALUE!</v>
      </c>
      <c r="AL184" s="227" t="e">
        <f t="shared" ca="1" si="65"/>
        <v>#VALUE!</v>
      </c>
      <c r="AM184" s="227" t="e">
        <f t="shared" ca="1" si="65"/>
        <v>#VALUE!</v>
      </c>
      <c r="AN184" s="227" t="e">
        <f t="shared" ca="1" si="65"/>
        <v>#VALUE!</v>
      </c>
      <c r="AO184" s="227" t="e">
        <f t="shared" ca="1" si="65"/>
        <v>#VALUE!</v>
      </c>
      <c r="AP184" s="227" t="e">
        <f t="shared" ca="1" si="65"/>
        <v>#VALUE!</v>
      </c>
    </row>
    <row r="185" spans="1:42">
      <c r="A185" s="61" t="str">
        <f>'[5]TS BYDem'!A124</f>
        <v>*</v>
      </c>
      <c r="B185" s="227" t="s">
        <v>295</v>
      </c>
      <c r="C185" s="227" t="s">
        <v>138</v>
      </c>
      <c r="D185" s="227" t="str">
        <f>'[5]TS BYDem'!D124</f>
        <v>INMS</v>
      </c>
      <c r="E185" s="227" t="s">
        <v>138</v>
      </c>
      <c r="F185" s="227" t="s">
        <v>138</v>
      </c>
      <c r="G185" s="227" t="s">
        <v>138</v>
      </c>
      <c r="H185" s="227" t="s">
        <v>138</v>
      </c>
      <c r="I185" s="227">
        <v>0</v>
      </c>
      <c r="J185" s="227" t="str">
        <f>INDEX('[5]TS BYDem'!$J$10:$J$203,MATCH(D185,'[5]TS BYDem'!$D$10:$D$203,0))</f>
        <v/>
      </c>
      <c r="K185" s="227" t="e">
        <f t="shared" ca="1" si="64"/>
        <v>#VALUE!</v>
      </c>
      <c r="L185" s="227" t="e">
        <f t="shared" ca="1" si="64"/>
        <v>#VALUE!</v>
      </c>
      <c r="M185" s="227" t="e">
        <f t="shared" ca="1" si="64"/>
        <v>#VALUE!</v>
      </c>
      <c r="N185" s="227" t="e">
        <f t="shared" ca="1" si="64"/>
        <v>#VALUE!</v>
      </c>
      <c r="O185" s="227" t="e">
        <f t="shared" ca="1" si="64"/>
        <v>#VALUE!</v>
      </c>
      <c r="P185" s="227" t="e">
        <f t="shared" ca="1" si="64"/>
        <v>#VALUE!</v>
      </c>
      <c r="Q185" s="227" t="e">
        <f t="shared" ca="1" si="64"/>
        <v>#VALUE!</v>
      </c>
      <c r="R185" s="227" t="e">
        <f t="shared" ca="1" si="64"/>
        <v>#VALUE!</v>
      </c>
      <c r="S185" s="227" t="e">
        <f t="shared" ca="1" si="64"/>
        <v>#VALUE!</v>
      </c>
      <c r="T185" s="227" t="e">
        <f t="shared" ca="1" si="64"/>
        <v>#VALUE!</v>
      </c>
      <c r="U185" s="227" t="e">
        <f t="shared" ca="1" si="64"/>
        <v>#VALUE!</v>
      </c>
      <c r="V185" s="227" t="e">
        <f t="shared" ca="1" si="64"/>
        <v>#VALUE!</v>
      </c>
      <c r="W185" s="227" t="e">
        <f t="shared" ca="1" si="64"/>
        <v>#VALUE!</v>
      </c>
      <c r="X185" s="227" t="e">
        <f t="shared" ca="1" si="64"/>
        <v>#VALUE!</v>
      </c>
      <c r="Y185" s="227" t="e">
        <f t="shared" ca="1" si="64"/>
        <v>#VALUE!</v>
      </c>
      <c r="Z185" s="227" t="e">
        <f t="shared" ca="1" si="64"/>
        <v>#VALUE!</v>
      </c>
      <c r="AA185" s="227" t="e">
        <f t="shared" ca="1" si="65"/>
        <v>#VALUE!</v>
      </c>
      <c r="AB185" s="227" t="e">
        <f t="shared" ca="1" si="65"/>
        <v>#VALUE!</v>
      </c>
      <c r="AC185" s="227" t="e">
        <f t="shared" ca="1" si="65"/>
        <v>#VALUE!</v>
      </c>
      <c r="AD185" s="227" t="e">
        <f t="shared" ca="1" si="65"/>
        <v>#VALUE!</v>
      </c>
      <c r="AE185" s="227" t="e">
        <f t="shared" ca="1" si="65"/>
        <v>#VALUE!</v>
      </c>
      <c r="AF185" s="227" t="e">
        <f t="shared" ca="1" si="65"/>
        <v>#VALUE!</v>
      </c>
      <c r="AG185" s="227" t="e">
        <f t="shared" ca="1" si="65"/>
        <v>#VALUE!</v>
      </c>
      <c r="AH185" s="227" t="e">
        <f t="shared" ca="1" si="65"/>
        <v>#VALUE!</v>
      </c>
      <c r="AI185" s="227" t="e">
        <f t="shared" ca="1" si="65"/>
        <v>#VALUE!</v>
      </c>
      <c r="AJ185" s="227" t="e">
        <f t="shared" ca="1" si="65"/>
        <v>#VALUE!</v>
      </c>
      <c r="AK185" s="227" t="e">
        <f t="shared" ca="1" si="65"/>
        <v>#VALUE!</v>
      </c>
      <c r="AL185" s="227" t="e">
        <f t="shared" ca="1" si="65"/>
        <v>#VALUE!</v>
      </c>
      <c r="AM185" s="227" t="e">
        <f t="shared" ca="1" si="65"/>
        <v>#VALUE!</v>
      </c>
      <c r="AN185" s="227" t="e">
        <f t="shared" ca="1" si="65"/>
        <v>#VALUE!</v>
      </c>
      <c r="AO185" s="227" t="e">
        <f t="shared" ca="1" si="65"/>
        <v>#VALUE!</v>
      </c>
      <c r="AP185" s="227" t="e">
        <f t="shared" ca="1" si="65"/>
        <v>#VALUE!</v>
      </c>
    </row>
    <row r="186" spans="1:42">
      <c r="A186" s="61" t="str">
        <f>'[5]TS BYDem'!A125</f>
        <v>*</v>
      </c>
      <c r="B186" s="227" t="s">
        <v>295</v>
      </c>
      <c r="C186" s="227" t="s">
        <v>138</v>
      </c>
      <c r="D186" s="227" t="str">
        <f>'[5]TS BYDem'!D125</f>
        <v>INMS</v>
      </c>
      <c r="E186" s="227" t="s">
        <v>138</v>
      </c>
      <c r="F186" s="227" t="s">
        <v>138</v>
      </c>
      <c r="G186" s="227" t="s">
        <v>138</v>
      </c>
      <c r="H186" s="227" t="s">
        <v>138</v>
      </c>
      <c r="I186" s="227">
        <v>0</v>
      </c>
      <c r="J186" s="227" t="str">
        <f>INDEX('[5]TS BYDem'!$J$10:$J$203,MATCH(D186,'[5]TS BYDem'!$D$10:$D$203,0))</f>
        <v/>
      </c>
      <c r="K186" s="227" t="e">
        <f t="shared" ca="1" si="64"/>
        <v>#VALUE!</v>
      </c>
      <c r="L186" s="227" t="e">
        <f t="shared" ca="1" si="64"/>
        <v>#VALUE!</v>
      </c>
      <c r="M186" s="227" t="e">
        <f t="shared" ca="1" si="64"/>
        <v>#VALUE!</v>
      </c>
      <c r="N186" s="227" t="e">
        <f t="shared" ca="1" si="64"/>
        <v>#VALUE!</v>
      </c>
      <c r="O186" s="227" t="e">
        <f t="shared" ca="1" si="64"/>
        <v>#VALUE!</v>
      </c>
      <c r="P186" s="227" t="e">
        <f t="shared" ca="1" si="64"/>
        <v>#VALUE!</v>
      </c>
      <c r="Q186" s="227" t="e">
        <f t="shared" ca="1" si="64"/>
        <v>#VALUE!</v>
      </c>
      <c r="R186" s="227" t="e">
        <f t="shared" ca="1" si="64"/>
        <v>#VALUE!</v>
      </c>
      <c r="S186" s="227" t="e">
        <f t="shared" ca="1" si="64"/>
        <v>#VALUE!</v>
      </c>
      <c r="T186" s="227" t="e">
        <f t="shared" ca="1" si="64"/>
        <v>#VALUE!</v>
      </c>
      <c r="U186" s="227" t="e">
        <f t="shared" ca="1" si="64"/>
        <v>#VALUE!</v>
      </c>
      <c r="V186" s="227" t="e">
        <f t="shared" ca="1" si="64"/>
        <v>#VALUE!</v>
      </c>
      <c r="W186" s="227" t="e">
        <f t="shared" ca="1" si="64"/>
        <v>#VALUE!</v>
      </c>
      <c r="X186" s="227" t="e">
        <f t="shared" ca="1" si="64"/>
        <v>#VALUE!</v>
      </c>
      <c r="Y186" s="227" t="e">
        <f t="shared" ca="1" si="64"/>
        <v>#VALUE!</v>
      </c>
      <c r="Z186" s="227" t="e">
        <f t="shared" ca="1" si="64"/>
        <v>#VALUE!</v>
      </c>
      <c r="AA186" s="227" t="e">
        <f t="shared" ca="1" si="65"/>
        <v>#VALUE!</v>
      </c>
      <c r="AB186" s="227" t="e">
        <f t="shared" ca="1" si="65"/>
        <v>#VALUE!</v>
      </c>
      <c r="AC186" s="227" t="e">
        <f t="shared" ca="1" si="65"/>
        <v>#VALUE!</v>
      </c>
      <c r="AD186" s="227" t="e">
        <f t="shared" ca="1" si="65"/>
        <v>#VALUE!</v>
      </c>
      <c r="AE186" s="227" t="e">
        <f t="shared" ca="1" si="65"/>
        <v>#VALUE!</v>
      </c>
      <c r="AF186" s="227" t="e">
        <f t="shared" ca="1" si="65"/>
        <v>#VALUE!</v>
      </c>
      <c r="AG186" s="227" t="e">
        <f t="shared" ca="1" si="65"/>
        <v>#VALUE!</v>
      </c>
      <c r="AH186" s="227" t="e">
        <f t="shared" ca="1" si="65"/>
        <v>#VALUE!</v>
      </c>
      <c r="AI186" s="227" t="e">
        <f t="shared" ca="1" si="65"/>
        <v>#VALUE!</v>
      </c>
      <c r="AJ186" s="227" t="e">
        <f t="shared" ca="1" si="65"/>
        <v>#VALUE!</v>
      </c>
      <c r="AK186" s="227" t="e">
        <f t="shared" ca="1" si="65"/>
        <v>#VALUE!</v>
      </c>
      <c r="AL186" s="227" t="e">
        <f t="shared" ca="1" si="65"/>
        <v>#VALUE!</v>
      </c>
      <c r="AM186" s="227" t="e">
        <f t="shared" ca="1" si="65"/>
        <v>#VALUE!</v>
      </c>
      <c r="AN186" s="227" t="e">
        <f t="shared" ca="1" si="65"/>
        <v>#VALUE!</v>
      </c>
      <c r="AO186" s="227" t="e">
        <f t="shared" ca="1" si="65"/>
        <v>#VALUE!</v>
      </c>
      <c r="AP186" s="227" t="e">
        <f t="shared" ca="1" si="65"/>
        <v>#VALUE!</v>
      </c>
    </row>
    <row r="187" spans="1:42">
      <c r="A187" s="61" t="str">
        <f>'[5]TS BYDem'!A126</f>
        <v>*</v>
      </c>
      <c r="B187" s="227" t="s">
        <v>295</v>
      </c>
      <c r="C187" s="227" t="s">
        <v>138</v>
      </c>
      <c r="D187" s="227" t="str">
        <f>'[5]TS BYDem'!D126</f>
        <v>INMS</v>
      </c>
      <c r="E187" s="227" t="s">
        <v>138</v>
      </c>
      <c r="F187" s="227" t="s">
        <v>138</v>
      </c>
      <c r="G187" s="227" t="s">
        <v>138</v>
      </c>
      <c r="H187" s="227" t="s">
        <v>138</v>
      </c>
      <c r="I187" s="227">
        <v>0</v>
      </c>
      <c r="J187" s="227" t="str">
        <f>INDEX('[5]TS BYDem'!$J$10:$J$203,MATCH(D187,'[5]TS BYDem'!$D$10:$D$203,0))</f>
        <v/>
      </c>
      <c r="K187" s="227" t="e">
        <f t="shared" ca="1" si="64"/>
        <v>#VALUE!</v>
      </c>
      <c r="L187" s="227" t="e">
        <f t="shared" ca="1" si="64"/>
        <v>#VALUE!</v>
      </c>
      <c r="M187" s="227" t="e">
        <f t="shared" ca="1" si="64"/>
        <v>#VALUE!</v>
      </c>
      <c r="N187" s="227" t="e">
        <f t="shared" ca="1" si="64"/>
        <v>#VALUE!</v>
      </c>
      <c r="O187" s="227" t="e">
        <f t="shared" ca="1" si="64"/>
        <v>#VALUE!</v>
      </c>
      <c r="P187" s="227" t="e">
        <f t="shared" ca="1" si="64"/>
        <v>#VALUE!</v>
      </c>
      <c r="Q187" s="227" t="e">
        <f t="shared" ca="1" si="64"/>
        <v>#VALUE!</v>
      </c>
      <c r="R187" s="227" t="e">
        <f t="shared" ca="1" si="64"/>
        <v>#VALUE!</v>
      </c>
      <c r="S187" s="227" t="e">
        <f t="shared" ca="1" si="64"/>
        <v>#VALUE!</v>
      </c>
      <c r="T187" s="227" t="e">
        <f t="shared" ca="1" si="64"/>
        <v>#VALUE!</v>
      </c>
      <c r="U187" s="227" t="e">
        <f t="shared" ca="1" si="64"/>
        <v>#VALUE!</v>
      </c>
      <c r="V187" s="227" t="e">
        <f t="shared" ca="1" si="64"/>
        <v>#VALUE!</v>
      </c>
      <c r="W187" s="227" t="e">
        <f t="shared" ca="1" si="64"/>
        <v>#VALUE!</v>
      </c>
      <c r="X187" s="227" t="e">
        <f t="shared" ca="1" si="64"/>
        <v>#VALUE!</v>
      </c>
      <c r="Y187" s="227" t="e">
        <f t="shared" ca="1" si="64"/>
        <v>#VALUE!</v>
      </c>
      <c r="Z187" s="227" t="e">
        <f t="shared" ca="1" si="64"/>
        <v>#VALUE!</v>
      </c>
      <c r="AA187" s="227" t="e">
        <f t="shared" ca="1" si="65"/>
        <v>#VALUE!</v>
      </c>
      <c r="AB187" s="227" t="e">
        <f t="shared" ca="1" si="65"/>
        <v>#VALUE!</v>
      </c>
      <c r="AC187" s="227" t="e">
        <f t="shared" ca="1" si="65"/>
        <v>#VALUE!</v>
      </c>
      <c r="AD187" s="227" t="e">
        <f t="shared" ca="1" si="65"/>
        <v>#VALUE!</v>
      </c>
      <c r="AE187" s="227" t="e">
        <f t="shared" ca="1" si="65"/>
        <v>#VALUE!</v>
      </c>
      <c r="AF187" s="227" t="e">
        <f t="shared" ca="1" si="65"/>
        <v>#VALUE!</v>
      </c>
      <c r="AG187" s="227" t="e">
        <f t="shared" ca="1" si="65"/>
        <v>#VALUE!</v>
      </c>
      <c r="AH187" s="227" t="e">
        <f t="shared" ca="1" si="65"/>
        <v>#VALUE!</v>
      </c>
      <c r="AI187" s="227" t="e">
        <f t="shared" ca="1" si="65"/>
        <v>#VALUE!</v>
      </c>
      <c r="AJ187" s="227" t="e">
        <f t="shared" ca="1" si="65"/>
        <v>#VALUE!</v>
      </c>
      <c r="AK187" s="227" t="e">
        <f t="shared" ca="1" si="65"/>
        <v>#VALUE!</v>
      </c>
      <c r="AL187" s="227" t="e">
        <f t="shared" ca="1" si="65"/>
        <v>#VALUE!</v>
      </c>
      <c r="AM187" s="227" t="e">
        <f t="shared" ca="1" si="65"/>
        <v>#VALUE!</v>
      </c>
      <c r="AN187" s="227" t="e">
        <f t="shared" ca="1" si="65"/>
        <v>#VALUE!</v>
      </c>
      <c r="AO187" s="227" t="e">
        <f t="shared" ca="1" si="65"/>
        <v>#VALUE!</v>
      </c>
      <c r="AP187" s="227" t="e">
        <f t="shared" ca="1" si="65"/>
        <v>#VALUE!</v>
      </c>
    </row>
    <row r="188" spans="1:42">
      <c r="A188" s="61" t="str">
        <f>'[5]TS BYDem'!A127</f>
        <v>*</v>
      </c>
      <c r="B188" s="227" t="s">
        <v>295</v>
      </c>
      <c r="C188" s="227" t="s">
        <v>138</v>
      </c>
      <c r="D188" s="227" t="str">
        <f>'[5]TS BYDem'!D127</f>
        <v>INMS</v>
      </c>
      <c r="E188" s="227" t="s">
        <v>138</v>
      </c>
      <c r="F188" s="227" t="s">
        <v>138</v>
      </c>
      <c r="G188" s="227" t="s">
        <v>138</v>
      </c>
      <c r="H188" s="227" t="s">
        <v>138</v>
      </c>
      <c r="I188" s="227">
        <v>0</v>
      </c>
      <c r="J188" s="227" t="str">
        <f>INDEX('[5]TS BYDem'!$J$10:$J$203,MATCH(D188,'[5]TS BYDem'!$D$10:$D$203,0))</f>
        <v/>
      </c>
      <c r="K188" s="227" t="e">
        <f t="shared" ca="1" si="64"/>
        <v>#VALUE!</v>
      </c>
      <c r="L188" s="227" t="e">
        <f t="shared" ca="1" si="64"/>
        <v>#VALUE!</v>
      </c>
      <c r="M188" s="227" t="e">
        <f t="shared" ca="1" si="64"/>
        <v>#VALUE!</v>
      </c>
      <c r="N188" s="227" t="e">
        <f t="shared" ca="1" si="64"/>
        <v>#VALUE!</v>
      </c>
      <c r="O188" s="227" t="e">
        <f t="shared" ca="1" si="64"/>
        <v>#VALUE!</v>
      </c>
      <c r="P188" s="227" t="e">
        <f t="shared" ca="1" si="64"/>
        <v>#VALUE!</v>
      </c>
      <c r="Q188" s="227" t="e">
        <f t="shared" ca="1" si="64"/>
        <v>#VALUE!</v>
      </c>
      <c r="R188" s="227" t="e">
        <f t="shared" ca="1" si="64"/>
        <v>#VALUE!</v>
      </c>
      <c r="S188" s="227" t="e">
        <f t="shared" ca="1" si="64"/>
        <v>#VALUE!</v>
      </c>
      <c r="T188" s="227" t="e">
        <f t="shared" ca="1" si="64"/>
        <v>#VALUE!</v>
      </c>
      <c r="U188" s="227" t="e">
        <f t="shared" ca="1" si="64"/>
        <v>#VALUE!</v>
      </c>
      <c r="V188" s="227" t="e">
        <f t="shared" ca="1" si="64"/>
        <v>#VALUE!</v>
      </c>
      <c r="W188" s="227" t="e">
        <f t="shared" ca="1" si="64"/>
        <v>#VALUE!</v>
      </c>
      <c r="X188" s="227" t="e">
        <f t="shared" ca="1" si="64"/>
        <v>#VALUE!</v>
      </c>
      <c r="Y188" s="227" t="e">
        <f t="shared" ca="1" si="64"/>
        <v>#VALUE!</v>
      </c>
      <c r="Z188" s="227" t="e">
        <f t="shared" ca="1" si="64"/>
        <v>#VALUE!</v>
      </c>
      <c r="AA188" s="227" t="e">
        <f t="shared" ca="1" si="65"/>
        <v>#VALUE!</v>
      </c>
      <c r="AB188" s="227" t="e">
        <f t="shared" ca="1" si="65"/>
        <v>#VALUE!</v>
      </c>
      <c r="AC188" s="227" t="e">
        <f t="shared" ca="1" si="65"/>
        <v>#VALUE!</v>
      </c>
      <c r="AD188" s="227" t="e">
        <f t="shared" ca="1" si="65"/>
        <v>#VALUE!</v>
      </c>
      <c r="AE188" s="227" t="e">
        <f t="shared" ca="1" si="65"/>
        <v>#VALUE!</v>
      </c>
      <c r="AF188" s="227" t="e">
        <f t="shared" ca="1" si="65"/>
        <v>#VALUE!</v>
      </c>
      <c r="AG188" s="227" t="e">
        <f t="shared" ca="1" si="65"/>
        <v>#VALUE!</v>
      </c>
      <c r="AH188" s="227" t="e">
        <f t="shared" ca="1" si="65"/>
        <v>#VALUE!</v>
      </c>
      <c r="AI188" s="227" t="e">
        <f t="shared" ca="1" si="65"/>
        <v>#VALUE!</v>
      </c>
      <c r="AJ188" s="227" t="e">
        <f t="shared" ca="1" si="65"/>
        <v>#VALUE!</v>
      </c>
      <c r="AK188" s="227" t="e">
        <f t="shared" ca="1" si="65"/>
        <v>#VALUE!</v>
      </c>
      <c r="AL188" s="227" t="e">
        <f t="shared" ca="1" si="65"/>
        <v>#VALUE!</v>
      </c>
      <c r="AM188" s="227" t="e">
        <f t="shared" ca="1" si="65"/>
        <v>#VALUE!</v>
      </c>
      <c r="AN188" s="227" t="e">
        <f t="shared" ca="1" si="65"/>
        <v>#VALUE!</v>
      </c>
      <c r="AO188" s="227" t="e">
        <f t="shared" ca="1" si="65"/>
        <v>#VALUE!</v>
      </c>
      <c r="AP188" s="227" t="e">
        <f t="shared" ca="1" si="65"/>
        <v>#VALUE!</v>
      </c>
    </row>
    <row r="189" spans="1:42">
      <c r="A189" s="61" t="str">
        <f>'[5]TS BYDem'!A128</f>
        <v>*</v>
      </c>
      <c r="B189" s="227" t="s">
        <v>295</v>
      </c>
      <c r="C189" s="227" t="s">
        <v>138</v>
      </c>
      <c r="D189" s="227" t="str">
        <f>'[5]TS BYDem'!D128</f>
        <v>INMS</v>
      </c>
      <c r="E189" s="227" t="s">
        <v>138</v>
      </c>
      <c r="F189" s="227" t="s">
        <v>138</v>
      </c>
      <c r="G189" s="227" t="s">
        <v>138</v>
      </c>
      <c r="H189" s="227" t="s">
        <v>138</v>
      </c>
      <c r="I189" s="227">
        <v>0</v>
      </c>
      <c r="J189" s="227" t="str">
        <f>INDEX('[5]TS BYDem'!$J$10:$J$203,MATCH(D189,'[5]TS BYDem'!$D$10:$D$203,0))</f>
        <v/>
      </c>
      <c r="K189" s="227" t="e">
        <f t="shared" ca="1" si="64"/>
        <v>#VALUE!</v>
      </c>
      <c r="L189" s="227" t="e">
        <f t="shared" ca="1" si="64"/>
        <v>#VALUE!</v>
      </c>
      <c r="M189" s="227" t="e">
        <f t="shared" ca="1" si="64"/>
        <v>#VALUE!</v>
      </c>
      <c r="N189" s="227" t="e">
        <f t="shared" ca="1" si="64"/>
        <v>#VALUE!</v>
      </c>
      <c r="O189" s="227" t="e">
        <f t="shared" ca="1" si="64"/>
        <v>#VALUE!</v>
      </c>
      <c r="P189" s="227" t="e">
        <f t="shared" ca="1" si="64"/>
        <v>#VALUE!</v>
      </c>
      <c r="Q189" s="227" t="e">
        <f t="shared" ca="1" si="64"/>
        <v>#VALUE!</v>
      </c>
      <c r="R189" s="227" t="e">
        <f t="shared" ca="1" si="64"/>
        <v>#VALUE!</v>
      </c>
      <c r="S189" s="227" t="e">
        <f t="shared" ca="1" si="64"/>
        <v>#VALUE!</v>
      </c>
      <c r="T189" s="227" t="e">
        <f t="shared" ca="1" si="64"/>
        <v>#VALUE!</v>
      </c>
      <c r="U189" s="227" t="e">
        <f t="shared" ca="1" si="64"/>
        <v>#VALUE!</v>
      </c>
      <c r="V189" s="227" t="e">
        <f t="shared" ca="1" si="64"/>
        <v>#VALUE!</v>
      </c>
      <c r="W189" s="227" t="e">
        <f t="shared" ca="1" si="64"/>
        <v>#VALUE!</v>
      </c>
      <c r="X189" s="227" t="e">
        <f t="shared" ca="1" si="64"/>
        <v>#VALUE!</v>
      </c>
      <c r="Y189" s="227" t="e">
        <f t="shared" ca="1" si="64"/>
        <v>#VALUE!</v>
      </c>
      <c r="Z189" s="227" t="e">
        <f t="shared" ref="Z189:AO189" ca="1" si="66">Z$173/Y$173*Y189</f>
        <v>#VALUE!</v>
      </c>
      <c r="AA189" s="227" t="e">
        <f t="shared" ca="1" si="66"/>
        <v>#VALUE!</v>
      </c>
      <c r="AB189" s="227" t="e">
        <f t="shared" ca="1" si="66"/>
        <v>#VALUE!</v>
      </c>
      <c r="AC189" s="227" t="e">
        <f t="shared" ca="1" si="66"/>
        <v>#VALUE!</v>
      </c>
      <c r="AD189" s="227" t="e">
        <f t="shared" ca="1" si="66"/>
        <v>#VALUE!</v>
      </c>
      <c r="AE189" s="227" t="e">
        <f t="shared" ca="1" si="66"/>
        <v>#VALUE!</v>
      </c>
      <c r="AF189" s="227" t="e">
        <f t="shared" ca="1" si="66"/>
        <v>#VALUE!</v>
      </c>
      <c r="AG189" s="227" t="e">
        <f t="shared" ca="1" si="66"/>
        <v>#VALUE!</v>
      </c>
      <c r="AH189" s="227" t="e">
        <f t="shared" ca="1" si="66"/>
        <v>#VALUE!</v>
      </c>
      <c r="AI189" s="227" t="e">
        <f t="shared" ca="1" si="66"/>
        <v>#VALUE!</v>
      </c>
      <c r="AJ189" s="227" t="e">
        <f t="shared" ca="1" si="66"/>
        <v>#VALUE!</v>
      </c>
      <c r="AK189" s="227" t="e">
        <f t="shared" ca="1" si="66"/>
        <v>#VALUE!</v>
      </c>
      <c r="AL189" s="227" t="e">
        <f t="shared" ca="1" si="66"/>
        <v>#VALUE!</v>
      </c>
      <c r="AM189" s="227" t="e">
        <f t="shared" ca="1" si="66"/>
        <v>#VALUE!</v>
      </c>
      <c r="AN189" s="227" t="e">
        <f t="shared" ca="1" si="66"/>
        <v>#VALUE!</v>
      </c>
      <c r="AO189" s="227" t="e">
        <f t="shared" ca="1" si="66"/>
        <v>#VALUE!</v>
      </c>
      <c r="AP189" s="227" t="e">
        <f t="shared" ca="1" si="65"/>
        <v>#VALUE!</v>
      </c>
    </row>
    <row r="190" spans="1:42">
      <c r="A190" s="61" t="str">
        <f>'[5]TS BYDem'!A129</f>
        <v>*</v>
      </c>
      <c r="B190" s="227" t="s">
        <v>295</v>
      </c>
      <c r="C190" s="227" t="s">
        <v>138</v>
      </c>
      <c r="D190" s="227" t="str">
        <f>'[5]TS BYDem'!D129</f>
        <v>Useful Energy Service</v>
      </c>
      <c r="E190" s="227" t="s">
        <v>138</v>
      </c>
      <c r="F190" s="227" t="s">
        <v>138</v>
      </c>
      <c r="G190" s="227" t="s">
        <v>138</v>
      </c>
      <c r="H190" s="227" t="s">
        <v>138</v>
      </c>
      <c r="I190" s="227">
        <v>0</v>
      </c>
      <c r="J190" s="227" t="str">
        <f>INDEX('[5]TS BYDem'!$J$10:$J$203,MATCH(D190,'[5]TS BYDem'!$D$10:$D$203,0))</f>
        <v/>
      </c>
    </row>
    <row r="191" spans="1:42">
      <c r="A191" s="61" t="str">
        <f>'[5]TS BYDem'!A130</f>
        <v>*</v>
      </c>
      <c r="B191" s="227" t="s">
        <v>295</v>
      </c>
      <c r="C191" s="227" t="s">
        <v>138</v>
      </c>
      <c r="D191" s="227">
        <f>'[5]TS BYDem'!D130</f>
        <v>0</v>
      </c>
      <c r="E191" s="227" t="s">
        <v>138</v>
      </c>
      <c r="F191" s="227" t="s">
        <v>138</v>
      </c>
      <c r="G191" s="227" t="s">
        <v>138</v>
      </c>
      <c r="H191" s="227" t="s">
        <v>138</v>
      </c>
      <c r="I191" s="227">
        <v>0</v>
      </c>
      <c r="J191" s="227" t="str">
        <f>INDEX('[5]TS BYDem'!$J$10:$J$203,MATCH(D191,'[5]TS BYDem'!$D$10:$D$203,0))</f>
        <v/>
      </c>
    </row>
    <row r="192" spans="1:42" s="5" customFormat="1">
      <c r="A192" s="61" t="str">
        <f>'[5]TS BYDem'!A127</f>
        <v>*</v>
      </c>
      <c r="B192" s="5">
        <v>10</v>
      </c>
      <c r="C192" s="3" t="str">
        <f ca="1">OFFSET($C$9,$B192,0)</f>
        <v>Food, Beverage &amp; Tabacco</v>
      </c>
      <c r="D192" s="3" t="str">
        <f ca="1">OFFSET($B$9,$B192,0)</f>
        <v>FB</v>
      </c>
      <c r="J192" s="5">
        <f ca="1">SUMIF($B$10:$B$22,$D192,J$10:J$22)*SUMIF($B$10:$B$22,$D192,J$41:J$53)</f>
        <v>2.3649162688522865E-2</v>
      </c>
      <c r="K192" s="5">
        <f t="shared" ref="K192:AP192" ca="1" si="67">SUMIF($B$10:$B$22,$D192,K$10:K$22)*SUMIF($B$10:$B$22,$D192,K$41:K$53)</f>
        <v>2.4286792374552422E-2</v>
      </c>
      <c r="L192" s="5">
        <f t="shared" ca="1" si="67"/>
        <v>2.4924422060581979E-2</v>
      </c>
      <c r="M192" s="5">
        <f t="shared" ca="1" si="67"/>
        <v>2.5562051746611535E-2</v>
      </c>
      <c r="N192" s="5">
        <f t="shared" ca="1" si="67"/>
        <v>2.5865556025002713E-2</v>
      </c>
      <c r="O192" s="5">
        <f t="shared" ca="1" si="67"/>
        <v>2.6169060303393891E-2</v>
      </c>
      <c r="P192" s="5">
        <f t="shared" ca="1" si="67"/>
        <v>2.6472564581785069E-2</v>
      </c>
      <c r="Q192" s="5">
        <f t="shared" ca="1" si="67"/>
        <v>2.6776068860176246E-2</v>
      </c>
      <c r="R192" s="5">
        <f t="shared" ca="1" si="67"/>
        <v>2.7079573138567424E-2</v>
      </c>
      <c r="S192" s="5">
        <f t="shared" ca="1" si="67"/>
        <v>2.7571720583402348E-2</v>
      </c>
      <c r="T192" s="5">
        <f t="shared" ca="1" si="67"/>
        <v>2.8063868028237272E-2</v>
      </c>
      <c r="U192" s="5">
        <f t="shared" ca="1" si="67"/>
        <v>2.8556015473072197E-2</v>
      </c>
      <c r="V192" s="5">
        <f t="shared" ca="1" si="67"/>
        <v>2.9048162917907121E-2</v>
      </c>
      <c r="W192" s="5">
        <f t="shared" ca="1" si="67"/>
        <v>2.9540310362742038E-2</v>
      </c>
      <c r="X192" s="5">
        <f t="shared" ca="1" si="67"/>
        <v>3.0214986429456824E-2</v>
      </c>
      <c r="Y192" s="5">
        <f t="shared" ca="1" si="67"/>
        <v>3.0889662496171609E-2</v>
      </c>
      <c r="Z192" s="5">
        <f t="shared" ca="1" si="67"/>
        <v>3.1564338562886395E-2</v>
      </c>
      <c r="AA192" s="5">
        <f t="shared" ca="1" si="67"/>
        <v>3.223901462960118E-2</v>
      </c>
      <c r="AB192" s="5">
        <f t="shared" ca="1" si="67"/>
        <v>3.2913690696315959E-2</v>
      </c>
      <c r="AC192" s="5">
        <f t="shared" ca="1" si="67"/>
        <v>3.3491306975615892E-2</v>
      </c>
      <c r="AD192" s="5">
        <f t="shared" ca="1" si="67"/>
        <v>3.4068923254915826E-2</v>
      </c>
      <c r="AE192" s="5">
        <f t="shared" ca="1" si="67"/>
        <v>3.4646539534215759E-2</v>
      </c>
      <c r="AF192" s="5">
        <f t="shared" ca="1" si="67"/>
        <v>3.5224155813515692E-2</v>
      </c>
      <c r="AG192" s="5">
        <f t="shared" ca="1" si="67"/>
        <v>3.5801772092815626E-2</v>
      </c>
      <c r="AH192" s="5">
        <f t="shared" ca="1" si="67"/>
        <v>3.6473231371891734E-2</v>
      </c>
      <c r="AI192" s="5">
        <f t="shared" ca="1" si="67"/>
        <v>3.7144690650967843E-2</v>
      </c>
      <c r="AJ192" s="5">
        <f t="shared" ca="1" si="67"/>
        <v>3.7816149930043952E-2</v>
      </c>
      <c r="AK192" s="5">
        <f t="shared" ca="1" si="67"/>
        <v>3.8487609209120061E-2</v>
      </c>
      <c r="AL192" s="5">
        <f t="shared" ca="1" si="67"/>
        <v>3.9159068488196169E-2</v>
      </c>
      <c r="AM192" s="5">
        <f t="shared" ca="1" si="67"/>
        <v>4.2085583839286761E-2</v>
      </c>
      <c r="AN192" s="5">
        <f t="shared" ca="1" si="67"/>
        <v>4.520492772261063E-2</v>
      </c>
      <c r="AO192" s="5">
        <f t="shared" ca="1" si="67"/>
        <v>5.1218648868319505E-2</v>
      </c>
      <c r="AP192" s="5">
        <f t="shared" ca="1" si="67"/>
        <v>5.7264508102734091E-2</v>
      </c>
    </row>
    <row r="193" spans="1:42">
      <c r="A193" s="61" t="str">
        <f>'[5]TS BYDem'!A132</f>
        <v/>
      </c>
      <c r="B193" s="227" t="s">
        <v>295</v>
      </c>
      <c r="C193" s="227" t="s">
        <v>138</v>
      </c>
      <c r="D193" s="227" t="str">
        <f>'[5]TS BYDem'!D132</f>
        <v>IFBK</v>
      </c>
      <c r="E193" s="227" t="s">
        <v>138</v>
      </c>
      <c r="F193" s="227" t="s">
        <v>138</v>
      </c>
      <c r="G193" s="227" t="s">
        <v>138</v>
      </c>
      <c r="H193" s="227" t="s">
        <v>138</v>
      </c>
      <c r="I193" s="227">
        <v>0</v>
      </c>
      <c r="J193" s="227">
        <f>INDEX('[5]TS BYDem'!$J$10:$J$203,MATCH(D193,'[5]TS BYDem'!$D$10:$D$203,0))</f>
        <v>1.1176071642017353</v>
      </c>
      <c r="K193" s="227">
        <f t="shared" ref="K193:Z208" ca="1" si="68">K$192/J$192*J193</f>
        <v>1.1477401340070543</v>
      </c>
      <c r="L193" s="227">
        <f t="shared" ca="1" si="68"/>
        <v>1.1778731038123733</v>
      </c>
      <c r="M193" s="234">
        <f t="shared" ref="M193:M201" si="69">O193</f>
        <v>1.04664</v>
      </c>
      <c r="N193" s="234">
        <f t="shared" ref="N193:N201" si="70">O193</f>
        <v>1.04664</v>
      </c>
      <c r="O193" s="234">
        <f>INDEX('[5]TS BYDem'!$O$10:$O$203,MATCH(D193,'[5]TS BYDem'!$D$10:$D$203,0))</f>
        <v>1.04664</v>
      </c>
      <c r="P193" s="227">
        <f t="shared" ca="1" si="68"/>
        <v>1.058778751420667</v>
      </c>
      <c r="Q193" s="227">
        <f t="shared" ca="1" si="68"/>
        <v>1.070917502841334</v>
      </c>
      <c r="R193" s="227">
        <f t="shared" ca="1" si="68"/>
        <v>1.083056254262001</v>
      </c>
      <c r="S193" s="227">
        <f t="shared" ca="1" si="68"/>
        <v>1.1027398499161876</v>
      </c>
      <c r="T193" s="227">
        <f t="shared" ca="1" si="68"/>
        <v>1.1224234455703741</v>
      </c>
      <c r="U193" s="227">
        <f t="shared" ca="1" si="68"/>
        <v>1.1421070412245606</v>
      </c>
      <c r="V193" s="227">
        <f t="shared" ca="1" si="68"/>
        <v>1.1617906368787472</v>
      </c>
      <c r="W193" s="227">
        <f t="shared" ca="1" si="68"/>
        <v>1.1814742325329333</v>
      </c>
      <c r="X193" s="227">
        <f t="shared" ca="1" si="68"/>
        <v>1.208458119240351</v>
      </c>
      <c r="Y193" s="227">
        <f t="shared" ca="1" si="68"/>
        <v>1.2354420059477687</v>
      </c>
      <c r="Z193" s="227">
        <f t="shared" ca="1" si="68"/>
        <v>1.2624258926551863</v>
      </c>
      <c r="AA193" s="227">
        <f t="shared" ref="AA193:AP208" ca="1" si="71">AA$192/Z$192*Z193</f>
        <v>1.289409779362604</v>
      </c>
      <c r="AB193" s="227">
        <f t="shared" ca="1" si="71"/>
        <v>1.3163936660700215</v>
      </c>
      <c r="AC193" s="227">
        <f t="shared" ca="1" si="71"/>
        <v>1.3394956153015758</v>
      </c>
      <c r="AD193" s="227">
        <f t="shared" ca="1" si="71"/>
        <v>1.3625975645331299</v>
      </c>
      <c r="AE193" s="227">
        <f t="shared" ca="1" si="71"/>
        <v>1.3856995137646839</v>
      </c>
      <c r="AF193" s="227">
        <f t="shared" ca="1" si="71"/>
        <v>1.4088014629962378</v>
      </c>
      <c r="AG193" s="227">
        <f t="shared" ca="1" si="71"/>
        <v>1.4319034122277918</v>
      </c>
      <c r="AH193" s="227">
        <f t="shared" ca="1" si="71"/>
        <v>1.4587586424769678</v>
      </c>
      <c r="AI193" s="227">
        <f t="shared" ca="1" si="71"/>
        <v>1.4856138727261439</v>
      </c>
      <c r="AJ193" s="227">
        <f t="shared" ca="1" si="71"/>
        <v>1.5124691029753199</v>
      </c>
      <c r="AK193" s="227">
        <f t="shared" ca="1" si="71"/>
        <v>1.5393243332244961</v>
      </c>
      <c r="AL193" s="227">
        <f t="shared" ca="1" si="71"/>
        <v>1.5661795634736722</v>
      </c>
      <c r="AM193" s="227">
        <f t="shared" ca="1" si="71"/>
        <v>1.6832264880309216</v>
      </c>
      <c r="AN193" s="227">
        <f t="shared" ca="1" si="71"/>
        <v>1.8079856518752069</v>
      </c>
      <c r="AO193" s="227">
        <f t="shared" ca="1" si="71"/>
        <v>2.0485063670622341</v>
      </c>
      <c r="AP193" s="227">
        <f t="shared" ca="1" si="71"/>
        <v>2.2903124554637735</v>
      </c>
    </row>
    <row r="194" spans="1:42">
      <c r="A194" s="61" t="str">
        <f>'[5]TS BYDem'!A133</f>
        <v/>
      </c>
      <c r="B194" s="227" t="s">
        <v>295</v>
      </c>
      <c r="C194" s="227" t="s">
        <v>138</v>
      </c>
      <c r="D194" s="227" t="str">
        <f>'[5]TS BYDem'!D133</f>
        <v>IFBA</v>
      </c>
      <c r="E194" s="227" t="s">
        <v>138</v>
      </c>
      <c r="F194" s="227" t="s">
        <v>138</v>
      </c>
      <c r="G194" s="227" t="s">
        <v>138</v>
      </c>
      <c r="H194" s="227" t="s">
        <v>138</v>
      </c>
      <c r="I194" s="227">
        <v>0</v>
      </c>
      <c r="J194" s="227">
        <f>INDEX('[5]TS BYDem'!$J$10:$J$203,MATCH(D194,'[5]TS BYDem'!$D$10:$D$203,0))</f>
        <v>3.1931633262906718E-2</v>
      </c>
      <c r="K194" s="227">
        <f t="shared" ca="1" si="68"/>
        <v>3.2792575257344407E-2</v>
      </c>
      <c r="L194" s="227">
        <f t="shared" ca="1" si="68"/>
        <v>3.3653517251782089E-2</v>
      </c>
      <c r="M194" s="234">
        <f t="shared" si="69"/>
        <v>2.9904000000000003E-2</v>
      </c>
      <c r="N194" s="234">
        <f t="shared" si="70"/>
        <v>2.9904000000000003E-2</v>
      </c>
      <c r="O194" s="234">
        <f>INDEX('[5]TS BYDem'!$O$10:$O$203,MATCH(D194,'[5]TS BYDem'!$D$10:$D$203,0))</f>
        <v>2.9904000000000003E-2</v>
      </c>
      <c r="P194" s="227">
        <f t="shared" ca="1" si="68"/>
        <v>3.0250821469161918E-2</v>
      </c>
      <c r="Q194" s="227">
        <f t="shared" ca="1" si="68"/>
        <v>3.059764293832383E-2</v>
      </c>
      <c r="R194" s="227">
        <f t="shared" ca="1" si="68"/>
        <v>3.0944464407485741E-2</v>
      </c>
      <c r="S194" s="227">
        <f t="shared" ca="1" si="68"/>
        <v>3.1506852854748212E-2</v>
      </c>
      <c r="T194" s="227">
        <f t="shared" ca="1" si="68"/>
        <v>3.2069241302010686E-2</v>
      </c>
      <c r="U194" s="227">
        <f t="shared" ca="1" si="68"/>
        <v>3.2631629749273153E-2</v>
      </c>
      <c r="V194" s="227">
        <f t="shared" ca="1" si="68"/>
        <v>3.319401819653562E-2</v>
      </c>
      <c r="W194" s="227">
        <f t="shared" ca="1" si="68"/>
        <v>3.375640664379808E-2</v>
      </c>
      <c r="X194" s="227">
        <f t="shared" ca="1" si="68"/>
        <v>3.4527374835438586E-2</v>
      </c>
      <c r="Y194" s="227">
        <f t="shared" ca="1" si="68"/>
        <v>3.5298343027079092E-2</v>
      </c>
      <c r="Z194" s="227">
        <f t="shared" ca="1" si="68"/>
        <v>3.6069311218719598E-2</v>
      </c>
      <c r="AA194" s="227">
        <f t="shared" ca="1" si="71"/>
        <v>3.6840279410360104E-2</v>
      </c>
      <c r="AB194" s="227">
        <f t="shared" ca="1" si="71"/>
        <v>3.7611247602000603E-2</v>
      </c>
      <c r="AC194" s="227">
        <f t="shared" ca="1" si="71"/>
        <v>3.8271303294330726E-2</v>
      </c>
      <c r="AD194" s="227">
        <f t="shared" ca="1" si="71"/>
        <v>3.8931358986660843E-2</v>
      </c>
      <c r="AE194" s="227">
        <f t="shared" ca="1" si="71"/>
        <v>3.9591414678990959E-2</v>
      </c>
      <c r="AF194" s="227">
        <f t="shared" ca="1" si="71"/>
        <v>4.0251470371321069E-2</v>
      </c>
      <c r="AG194" s="227">
        <f t="shared" ca="1" si="71"/>
        <v>4.0911526063651185E-2</v>
      </c>
      <c r="AH194" s="227">
        <f t="shared" ca="1" si="71"/>
        <v>4.1678818356484786E-2</v>
      </c>
      <c r="AI194" s="227">
        <f t="shared" ca="1" si="71"/>
        <v>4.2446110649318386E-2</v>
      </c>
      <c r="AJ194" s="227">
        <f t="shared" ca="1" si="71"/>
        <v>4.3213402942151986E-2</v>
      </c>
      <c r="AK194" s="227">
        <f t="shared" ca="1" si="71"/>
        <v>4.3980695234985594E-2</v>
      </c>
      <c r="AL194" s="227">
        <f t="shared" ca="1" si="71"/>
        <v>4.4747987527819194E-2</v>
      </c>
      <c r="AM194" s="227">
        <f t="shared" ca="1" si="71"/>
        <v>4.8092185372312038E-2</v>
      </c>
      <c r="AN194" s="227">
        <f t="shared" ca="1" si="71"/>
        <v>5.1656732910720184E-2</v>
      </c>
      <c r="AO194" s="227">
        <f t="shared" ca="1" si="71"/>
        <v>5.852875334463524E-2</v>
      </c>
      <c r="AP194" s="227">
        <f t="shared" ca="1" si="71"/>
        <v>6.5437498727536361E-2</v>
      </c>
    </row>
    <row r="195" spans="1:42">
      <c r="A195" s="61" t="str">
        <f>'[5]TS BYDem'!A134</f>
        <v/>
      </c>
      <c r="B195" s="227" t="s">
        <v>295</v>
      </c>
      <c r="C195" s="227" t="s">
        <v>138</v>
      </c>
      <c r="D195" s="227" t="str">
        <f>'[5]TS BYDem'!D134</f>
        <v>IFBL</v>
      </c>
      <c r="E195" s="227" t="s">
        <v>138</v>
      </c>
      <c r="F195" s="227" t="s">
        <v>138</v>
      </c>
      <c r="G195" s="227" t="s">
        <v>138</v>
      </c>
      <c r="H195" s="227" t="s">
        <v>138</v>
      </c>
      <c r="I195" s="227">
        <v>0</v>
      </c>
      <c r="J195" s="227">
        <f>INDEX('[5]TS BYDem'!$J$10:$J$203,MATCH(D195,'[5]TS BYDem'!$D$10:$D$203,0))</f>
        <v>0.23948724947180039</v>
      </c>
      <c r="K195" s="227">
        <f t="shared" ca="1" si="68"/>
        <v>0.24594431443008305</v>
      </c>
      <c r="L195" s="227">
        <f t="shared" ca="1" si="68"/>
        <v>0.25240137938836565</v>
      </c>
      <c r="M195" s="234">
        <f t="shared" si="69"/>
        <v>0.22428000000000001</v>
      </c>
      <c r="N195" s="234">
        <f t="shared" si="70"/>
        <v>0.22428000000000001</v>
      </c>
      <c r="O195" s="234">
        <f>INDEX('[5]TS BYDem'!$O$10:$O$203,MATCH(D195,'[5]TS BYDem'!$D$10:$D$203,0))</f>
        <v>0.22428000000000001</v>
      </c>
      <c r="P195" s="227">
        <f t="shared" ca="1" si="68"/>
        <v>0.22688116101871439</v>
      </c>
      <c r="Q195" s="227">
        <f t="shared" ca="1" si="68"/>
        <v>0.22948232203742872</v>
      </c>
      <c r="R195" s="227">
        <f t="shared" ca="1" si="68"/>
        <v>0.23208348305614307</v>
      </c>
      <c r="S195" s="227">
        <f t="shared" ca="1" si="68"/>
        <v>0.2363013964106116</v>
      </c>
      <c r="T195" s="227">
        <f t="shared" ca="1" si="68"/>
        <v>0.24051930976508012</v>
      </c>
      <c r="U195" s="227">
        <f t="shared" ca="1" si="68"/>
        <v>0.24473722311954865</v>
      </c>
      <c r="V195" s="227">
        <f t="shared" ca="1" si="68"/>
        <v>0.24895513647401718</v>
      </c>
      <c r="W195" s="227">
        <f t="shared" ca="1" si="68"/>
        <v>0.2531730498284856</v>
      </c>
      <c r="X195" s="227">
        <f t="shared" ca="1" si="68"/>
        <v>0.25895531126578941</v>
      </c>
      <c r="Y195" s="227">
        <f t="shared" ca="1" si="68"/>
        <v>0.26473757270309317</v>
      </c>
      <c r="Z195" s="227">
        <f t="shared" ca="1" si="68"/>
        <v>0.27051983414039699</v>
      </c>
      <c r="AA195" s="227">
        <f t="shared" ca="1" si="71"/>
        <v>0.2763020955777008</v>
      </c>
      <c r="AB195" s="227">
        <f t="shared" ca="1" si="71"/>
        <v>0.28208435701500451</v>
      </c>
      <c r="AC195" s="227">
        <f t="shared" ca="1" si="71"/>
        <v>0.2870347747074804</v>
      </c>
      <c r="AD195" s="227">
        <f t="shared" ca="1" si="71"/>
        <v>0.29198519239995624</v>
      </c>
      <c r="AE195" s="227">
        <f t="shared" ca="1" si="71"/>
        <v>0.29693561009243208</v>
      </c>
      <c r="AF195" s="227">
        <f t="shared" ca="1" si="71"/>
        <v>0.30188602778490792</v>
      </c>
      <c r="AG195" s="227">
        <f t="shared" ca="1" si="71"/>
        <v>0.30683644547738381</v>
      </c>
      <c r="AH195" s="227">
        <f t="shared" ca="1" si="71"/>
        <v>0.31259113767363583</v>
      </c>
      <c r="AI195" s="227">
        <f t="shared" ca="1" si="71"/>
        <v>0.31834582986988785</v>
      </c>
      <c r="AJ195" s="227">
        <f t="shared" ca="1" si="71"/>
        <v>0.32410052206613987</v>
      </c>
      <c r="AK195" s="227">
        <f t="shared" ca="1" si="71"/>
        <v>0.32985521426239195</v>
      </c>
      <c r="AL195" s="227">
        <f t="shared" ca="1" si="71"/>
        <v>0.33560990645864397</v>
      </c>
      <c r="AM195" s="227">
        <f t="shared" ca="1" si="71"/>
        <v>0.36069139029234026</v>
      </c>
      <c r="AN195" s="227">
        <f t="shared" ca="1" si="71"/>
        <v>0.38742549683040139</v>
      </c>
      <c r="AO195" s="227">
        <f t="shared" ca="1" si="71"/>
        <v>0.43896565008476435</v>
      </c>
      <c r="AP195" s="227">
        <f t="shared" ca="1" si="71"/>
        <v>0.49078124045652283</v>
      </c>
    </row>
    <row r="196" spans="1:42">
      <c r="A196" s="61" t="str">
        <f>'[5]TS BYDem'!A135</f>
        <v/>
      </c>
      <c r="B196" s="227" t="s">
        <v>295</v>
      </c>
      <c r="C196" s="227" t="s">
        <v>138</v>
      </c>
      <c r="D196" s="227" t="str">
        <f>'[5]TS BYDem'!D135</f>
        <v>IFBC</v>
      </c>
      <c r="E196" s="227" t="s">
        <v>138</v>
      </c>
      <c r="F196" s="227" t="s">
        <v>138</v>
      </c>
      <c r="G196" s="227" t="s">
        <v>138</v>
      </c>
      <c r="H196" s="227" t="s">
        <v>138</v>
      </c>
      <c r="I196" s="227">
        <v>0</v>
      </c>
      <c r="J196" s="227">
        <f>INDEX('[5]TS BYDem'!$J$10:$J$203,MATCH(D196,'[5]TS BYDem'!$D$10:$D$203,0))</f>
        <v>7.3442756504685454</v>
      </c>
      <c r="K196" s="227">
        <f t="shared" ca="1" si="68"/>
        <v>7.5422923091892136</v>
      </c>
      <c r="L196" s="227">
        <f t="shared" ca="1" si="68"/>
        <v>7.7403089679098809</v>
      </c>
      <c r="M196" s="234">
        <f t="shared" si="69"/>
        <v>6.8779200000000005</v>
      </c>
      <c r="N196" s="234">
        <f t="shared" si="70"/>
        <v>6.8779200000000005</v>
      </c>
      <c r="O196" s="234">
        <f>INDEX('[5]TS BYDem'!$O$10:$O$203,MATCH(D196,'[5]TS BYDem'!$D$10:$D$203,0))</f>
        <v>6.8779200000000005</v>
      </c>
      <c r="P196" s="227">
        <f t="shared" ca="1" si="68"/>
        <v>6.9576889379072409</v>
      </c>
      <c r="Q196" s="227">
        <f t="shared" ca="1" si="68"/>
        <v>7.0374578758144803</v>
      </c>
      <c r="R196" s="227">
        <f t="shared" ca="1" si="68"/>
        <v>7.1172268137217198</v>
      </c>
      <c r="S196" s="227">
        <f t="shared" ca="1" si="68"/>
        <v>7.2465761565920879</v>
      </c>
      <c r="T196" s="227">
        <f t="shared" ca="1" si="68"/>
        <v>7.3759254994624559</v>
      </c>
      <c r="U196" s="227">
        <f t="shared" ca="1" si="68"/>
        <v>7.5052748423328239</v>
      </c>
      <c r="V196" s="227">
        <f t="shared" ca="1" si="68"/>
        <v>7.634624185203192</v>
      </c>
      <c r="W196" s="227">
        <f t="shared" ca="1" si="68"/>
        <v>7.7639735280735573</v>
      </c>
      <c r="X196" s="227">
        <f t="shared" ca="1" si="68"/>
        <v>7.9412962121508741</v>
      </c>
      <c r="Y196" s="227">
        <f t="shared" ca="1" si="68"/>
        <v>8.11861889622819</v>
      </c>
      <c r="Z196" s="227">
        <f t="shared" ca="1" si="68"/>
        <v>8.2959415803055077</v>
      </c>
      <c r="AA196" s="227">
        <f t="shared" ca="1" si="71"/>
        <v>8.4732642643828235</v>
      </c>
      <c r="AB196" s="227">
        <f t="shared" ca="1" si="71"/>
        <v>8.6505869484601376</v>
      </c>
      <c r="AC196" s="227">
        <f t="shared" ca="1" si="71"/>
        <v>8.8023997576960653</v>
      </c>
      <c r="AD196" s="227">
        <f t="shared" ca="1" si="71"/>
        <v>8.9542125669319912</v>
      </c>
      <c r="AE196" s="227">
        <f t="shared" ca="1" si="71"/>
        <v>9.1060253761679171</v>
      </c>
      <c r="AF196" s="227">
        <f t="shared" ca="1" si="71"/>
        <v>9.257838185403843</v>
      </c>
      <c r="AG196" s="227">
        <f t="shared" ca="1" si="71"/>
        <v>9.4096509946397706</v>
      </c>
      <c r="AH196" s="227">
        <f t="shared" ca="1" si="71"/>
        <v>9.5861282219914994</v>
      </c>
      <c r="AI196" s="227">
        <f t="shared" ca="1" si="71"/>
        <v>9.7626054493432282</v>
      </c>
      <c r="AJ196" s="227">
        <f t="shared" ca="1" si="71"/>
        <v>9.9390826766949569</v>
      </c>
      <c r="AK196" s="227">
        <f t="shared" ca="1" si="71"/>
        <v>10.115559904046687</v>
      </c>
      <c r="AL196" s="227">
        <f t="shared" ca="1" si="71"/>
        <v>10.292037131398416</v>
      </c>
      <c r="AM196" s="227">
        <f t="shared" ca="1" si="71"/>
        <v>11.061202635631771</v>
      </c>
      <c r="AN196" s="227">
        <f t="shared" ca="1" si="71"/>
        <v>11.881048569465646</v>
      </c>
      <c r="AO196" s="227">
        <f t="shared" ca="1" si="71"/>
        <v>13.46161326926611</v>
      </c>
      <c r="AP196" s="227">
        <f t="shared" ca="1" si="71"/>
        <v>15.05062470733337</v>
      </c>
    </row>
    <row r="197" spans="1:42">
      <c r="A197" s="61" t="str">
        <f>'[5]TS BYDem'!A136</f>
        <v/>
      </c>
      <c r="B197" s="227" t="s">
        <v>295</v>
      </c>
      <c r="C197" s="227" t="s">
        <v>138</v>
      </c>
      <c r="D197" s="227" t="str">
        <f>'[5]TS BYDem'!D136</f>
        <v>IFBH</v>
      </c>
      <c r="E197" s="227" t="s">
        <v>138</v>
      </c>
      <c r="F197" s="227" t="s">
        <v>138</v>
      </c>
      <c r="G197" s="227" t="s">
        <v>138</v>
      </c>
      <c r="H197" s="227" t="s">
        <v>138</v>
      </c>
      <c r="I197" s="227">
        <v>0</v>
      </c>
      <c r="J197" s="227">
        <f>INDEX('[5]TS BYDem'!$J$10:$J$203,MATCH(D197,'[5]TS BYDem'!$D$10:$D$203,0))</f>
        <v>0.86215409809848131</v>
      </c>
      <c r="K197" s="227">
        <f t="shared" ca="1" si="68"/>
        <v>0.8853995319482989</v>
      </c>
      <c r="L197" s="227">
        <f t="shared" ca="1" si="68"/>
        <v>0.90864496579811627</v>
      </c>
      <c r="M197" s="234">
        <f t="shared" si="69"/>
        <v>0.8074079999999999</v>
      </c>
      <c r="N197" s="234">
        <f t="shared" si="70"/>
        <v>0.8074079999999999</v>
      </c>
      <c r="O197" s="234">
        <f>INDEX('[5]TS BYDem'!$O$10:$O$203,MATCH(D197,'[5]TS BYDem'!$D$10:$D$203,0))</f>
        <v>0.8074079999999999</v>
      </c>
      <c r="P197" s="227">
        <f t="shared" ca="1" si="68"/>
        <v>0.81677217966737159</v>
      </c>
      <c r="Q197" s="227">
        <f t="shared" ca="1" si="68"/>
        <v>0.82613635933474316</v>
      </c>
      <c r="R197" s="227">
        <f t="shared" ca="1" si="68"/>
        <v>0.83550053900211485</v>
      </c>
      <c r="S197" s="227">
        <f t="shared" ca="1" si="68"/>
        <v>0.85068502707820159</v>
      </c>
      <c r="T197" s="227">
        <f t="shared" ca="1" si="68"/>
        <v>0.86586951515428834</v>
      </c>
      <c r="U197" s="227">
        <f t="shared" ca="1" si="68"/>
        <v>0.88105400323037497</v>
      </c>
      <c r="V197" s="227">
        <f t="shared" ca="1" si="68"/>
        <v>0.8962384913064616</v>
      </c>
      <c r="W197" s="227">
        <f t="shared" ca="1" si="68"/>
        <v>0.9114229793825479</v>
      </c>
      <c r="X197" s="227">
        <f t="shared" ca="1" si="68"/>
        <v>0.93223912055684155</v>
      </c>
      <c r="Y197" s="227">
        <f t="shared" ca="1" si="68"/>
        <v>0.95305526173113519</v>
      </c>
      <c r="Z197" s="227">
        <f t="shared" ca="1" si="68"/>
        <v>0.97387140290542895</v>
      </c>
      <c r="AA197" s="227">
        <f t="shared" ca="1" si="71"/>
        <v>0.9946875440797226</v>
      </c>
      <c r="AB197" s="227">
        <f t="shared" ca="1" si="71"/>
        <v>1.015503685254016</v>
      </c>
      <c r="AC197" s="227">
        <f t="shared" ca="1" si="71"/>
        <v>1.0333251889469293</v>
      </c>
      <c r="AD197" s="227">
        <f t="shared" ca="1" si="71"/>
        <v>1.0511466926398423</v>
      </c>
      <c r="AE197" s="227">
        <f t="shared" ca="1" si="71"/>
        <v>1.0689681963327553</v>
      </c>
      <c r="AF197" s="227">
        <f t="shared" ca="1" si="71"/>
        <v>1.0867897000256683</v>
      </c>
      <c r="AG197" s="227">
        <f t="shared" ca="1" si="71"/>
        <v>1.1046112037185816</v>
      </c>
      <c r="AH197" s="227">
        <f t="shared" ca="1" si="71"/>
        <v>1.1253280956250888</v>
      </c>
      <c r="AI197" s="227">
        <f t="shared" ca="1" si="71"/>
        <v>1.1460449875315961</v>
      </c>
      <c r="AJ197" s="227">
        <f t="shared" ca="1" si="71"/>
        <v>1.1667618794381034</v>
      </c>
      <c r="AK197" s="227">
        <f t="shared" ca="1" si="71"/>
        <v>1.1874787713446109</v>
      </c>
      <c r="AL197" s="227">
        <f t="shared" ca="1" si="71"/>
        <v>1.2081956632511182</v>
      </c>
      <c r="AM197" s="227">
        <f t="shared" ca="1" si="71"/>
        <v>1.2984890050524249</v>
      </c>
      <c r="AN197" s="227">
        <f t="shared" ca="1" si="71"/>
        <v>1.394731788589445</v>
      </c>
      <c r="AO197" s="227">
        <f t="shared" ca="1" si="71"/>
        <v>1.5802763403051516</v>
      </c>
      <c r="AP197" s="227">
        <f t="shared" ca="1" si="71"/>
        <v>1.766812465643482</v>
      </c>
    </row>
    <row r="198" spans="1:42">
      <c r="A198" s="61" t="str">
        <f>'[5]TS BYDem'!A137</f>
        <v/>
      </c>
      <c r="B198" s="227" t="s">
        <v>295</v>
      </c>
      <c r="C198" s="227" t="s">
        <v>138</v>
      </c>
      <c r="D198" s="227" t="str">
        <f>'[5]TS BYDem'!D137</f>
        <v>IFBP</v>
      </c>
      <c r="E198" s="227" t="s">
        <v>138</v>
      </c>
      <c r="F198" s="227" t="s">
        <v>138</v>
      </c>
      <c r="G198" s="227" t="s">
        <v>138</v>
      </c>
      <c r="H198" s="227" t="s">
        <v>138</v>
      </c>
      <c r="I198" s="227">
        <v>0</v>
      </c>
      <c r="J198" s="227">
        <f>INDEX('[5]TS BYDem'!$J$10:$J$203,MATCH(D198,'[5]TS BYDem'!$D$10:$D$203,0))</f>
        <v>3.576342925445553</v>
      </c>
      <c r="K198" s="227">
        <f t="shared" ca="1" si="68"/>
        <v>3.6727684288225739</v>
      </c>
      <c r="L198" s="227">
        <f t="shared" ca="1" si="68"/>
        <v>3.7691939321995944</v>
      </c>
      <c r="M198" s="234">
        <f t="shared" si="69"/>
        <v>3.3492480000000002</v>
      </c>
      <c r="N198" s="234">
        <f t="shared" si="70"/>
        <v>3.3492480000000002</v>
      </c>
      <c r="O198" s="234">
        <f>INDEX('[5]TS BYDem'!$O$10:$O$203,MATCH(D198,'[5]TS BYDem'!$D$10:$D$203,0))</f>
        <v>3.3492480000000002</v>
      </c>
      <c r="P198" s="227">
        <f t="shared" ca="1" si="68"/>
        <v>3.3880920045461349</v>
      </c>
      <c r="Q198" s="227">
        <f t="shared" ca="1" si="68"/>
        <v>3.4269360090922691</v>
      </c>
      <c r="R198" s="227">
        <f t="shared" ca="1" si="68"/>
        <v>3.4657800136384034</v>
      </c>
      <c r="S198" s="227">
        <f t="shared" ca="1" si="68"/>
        <v>3.5287675197318</v>
      </c>
      <c r="T198" s="227">
        <f t="shared" ca="1" si="68"/>
        <v>3.5917550258251967</v>
      </c>
      <c r="U198" s="227">
        <f t="shared" ca="1" si="68"/>
        <v>3.6547425319185933</v>
      </c>
      <c r="V198" s="227">
        <f t="shared" ca="1" si="68"/>
        <v>3.71773003801199</v>
      </c>
      <c r="W198" s="227">
        <f t="shared" ca="1" si="68"/>
        <v>3.7807175441053853</v>
      </c>
      <c r="X198" s="227">
        <f t="shared" ca="1" si="68"/>
        <v>3.8670659815691222</v>
      </c>
      <c r="Y198" s="227">
        <f t="shared" ca="1" si="68"/>
        <v>3.9534144190328586</v>
      </c>
      <c r="Z198" s="227">
        <f t="shared" ca="1" si="68"/>
        <v>4.0397628564965959</v>
      </c>
      <c r="AA198" s="227">
        <f t="shared" ca="1" si="71"/>
        <v>4.1261112939603324</v>
      </c>
      <c r="AB198" s="227">
        <f t="shared" ca="1" si="71"/>
        <v>4.2124597314240679</v>
      </c>
      <c r="AC198" s="227">
        <f t="shared" ca="1" si="71"/>
        <v>4.2863859689650416</v>
      </c>
      <c r="AD198" s="227">
        <f t="shared" ca="1" si="71"/>
        <v>4.3603122065060145</v>
      </c>
      <c r="AE198" s="227">
        <f t="shared" ca="1" si="71"/>
        <v>4.4342384440469873</v>
      </c>
      <c r="AF198" s="227">
        <f t="shared" ca="1" si="71"/>
        <v>4.5081646815879601</v>
      </c>
      <c r="AG198" s="227">
        <f t="shared" ca="1" si="71"/>
        <v>4.582090919128933</v>
      </c>
      <c r="AH198" s="227">
        <f t="shared" ca="1" si="71"/>
        <v>4.6680276559262959</v>
      </c>
      <c r="AI198" s="227">
        <f t="shared" ca="1" si="71"/>
        <v>4.7539643927236597</v>
      </c>
      <c r="AJ198" s="227">
        <f t="shared" ca="1" si="71"/>
        <v>4.8399011295210235</v>
      </c>
      <c r="AK198" s="227">
        <f t="shared" ca="1" si="71"/>
        <v>4.9258378663183873</v>
      </c>
      <c r="AL198" s="227">
        <f t="shared" ca="1" si="71"/>
        <v>5.0117746031157511</v>
      </c>
      <c r="AM198" s="227">
        <f t="shared" ca="1" si="71"/>
        <v>5.3863247616989494</v>
      </c>
      <c r="AN198" s="227">
        <f t="shared" ca="1" si="71"/>
        <v>5.785554086000662</v>
      </c>
      <c r="AO198" s="227">
        <f t="shared" ca="1" si="71"/>
        <v>6.5552203745991484</v>
      </c>
      <c r="AP198" s="227">
        <f t="shared" ca="1" si="71"/>
        <v>7.3289998574840753</v>
      </c>
    </row>
    <row r="199" spans="1:42">
      <c r="A199" s="61" t="str">
        <f>'[5]TS BYDem'!A138</f>
        <v/>
      </c>
      <c r="B199" s="227" t="s">
        <v>295</v>
      </c>
      <c r="C199" s="227" t="s">
        <v>138</v>
      </c>
      <c r="D199" s="227" t="str">
        <f>'[5]TS BYDem'!D138</f>
        <v>IFBF</v>
      </c>
      <c r="E199" s="227" t="s">
        <v>138</v>
      </c>
      <c r="F199" s="227" t="s">
        <v>138</v>
      </c>
      <c r="G199" s="227" t="s">
        <v>138</v>
      </c>
      <c r="H199" s="227" t="s">
        <v>138</v>
      </c>
      <c r="I199" s="227">
        <v>0</v>
      </c>
      <c r="J199" s="227">
        <f>INDEX('[5]TS BYDem'!$J$10:$J$203,MATCH(D199,'[5]TS BYDem'!$D$10:$D$203,0))</f>
        <v>0.51090613220650749</v>
      </c>
      <c r="K199" s="227">
        <f t="shared" ca="1" si="68"/>
        <v>0.52468120411751051</v>
      </c>
      <c r="L199" s="227">
        <f t="shared" ca="1" si="68"/>
        <v>0.53845627602851343</v>
      </c>
      <c r="M199" s="234">
        <f t="shared" si="69"/>
        <v>0.47846400000000006</v>
      </c>
      <c r="N199" s="234">
        <f t="shared" si="70"/>
        <v>0.47846400000000006</v>
      </c>
      <c r="O199" s="234">
        <f>INDEX('[5]TS BYDem'!$O$10:$O$203,MATCH(D199,'[5]TS BYDem'!$D$10:$D$203,0))</f>
        <v>0.47846400000000006</v>
      </c>
      <c r="P199" s="227">
        <f t="shared" ca="1" si="68"/>
        <v>0.48401314350659069</v>
      </c>
      <c r="Q199" s="227">
        <f t="shared" ca="1" si="68"/>
        <v>0.48956228701318127</v>
      </c>
      <c r="R199" s="227">
        <f t="shared" ca="1" si="68"/>
        <v>0.49511143051977186</v>
      </c>
      <c r="S199" s="227">
        <f t="shared" ca="1" si="68"/>
        <v>0.50410964567597139</v>
      </c>
      <c r="T199" s="227">
        <f t="shared" ca="1" si="68"/>
        <v>0.51310786083217097</v>
      </c>
      <c r="U199" s="227">
        <f t="shared" ca="1" si="68"/>
        <v>0.52210607598837044</v>
      </c>
      <c r="V199" s="227">
        <f t="shared" ca="1" si="68"/>
        <v>0.53110429114456992</v>
      </c>
      <c r="W199" s="227">
        <f t="shared" ca="1" si="68"/>
        <v>0.54010250630076928</v>
      </c>
      <c r="X199" s="227">
        <f t="shared" ca="1" si="68"/>
        <v>0.55243799736701737</v>
      </c>
      <c r="Y199" s="227">
        <f t="shared" ca="1" si="68"/>
        <v>0.56477348843326547</v>
      </c>
      <c r="Z199" s="227">
        <f t="shared" ca="1" si="68"/>
        <v>0.57710897949951356</v>
      </c>
      <c r="AA199" s="227">
        <f t="shared" ca="1" si="71"/>
        <v>0.58944447056576166</v>
      </c>
      <c r="AB199" s="227">
        <f t="shared" ca="1" si="71"/>
        <v>0.60177996163200964</v>
      </c>
      <c r="AC199" s="227">
        <f t="shared" ca="1" si="71"/>
        <v>0.61234085270929162</v>
      </c>
      <c r="AD199" s="227">
        <f t="shared" ca="1" si="71"/>
        <v>0.62290174378657348</v>
      </c>
      <c r="AE199" s="227">
        <f t="shared" ca="1" si="71"/>
        <v>0.63346263486385535</v>
      </c>
      <c r="AF199" s="227">
        <f t="shared" ca="1" si="71"/>
        <v>0.6440235259411371</v>
      </c>
      <c r="AG199" s="227">
        <f t="shared" ca="1" si="71"/>
        <v>0.65458441701841896</v>
      </c>
      <c r="AH199" s="227">
        <f t="shared" ca="1" si="71"/>
        <v>0.66686109370375657</v>
      </c>
      <c r="AI199" s="227">
        <f t="shared" ca="1" si="71"/>
        <v>0.67913777038909418</v>
      </c>
      <c r="AJ199" s="227">
        <f t="shared" ca="1" si="71"/>
        <v>0.69141444707443178</v>
      </c>
      <c r="AK199" s="227">
        <f t="shared" ca="1" si="71"/>
        <v>0.7036911237597695</v>
      </c>
      <c r="AL199" s="227">
        <f t="shared" ca="1" si="71"/>
        <v>0.71596780044510711</v>
      </c>
      <c r="AM199" s="227">
        <f t="shared" ca="1" si="71"/>
        <v>0.76947496595699261</v>
      </c>
      <c r="AN199" s="227">
        <f t="shared" ca="1" si="71"/>
        <v>0.82650772657152294</v>
      </c>
      <c r="AO199" s="227">
        <f t="shared" ca="1" si="71"/>
        <v>0.93646005351416384</v>
      </c>
      <c r="AP199" s="227">
        <f t="shared" ca="1" si="71"/>
        <v>1.0469999796405818</v>
      </c>
    </row>
    <row r="200" spans="1:42">
      <c r="A200" s="61" t="str">
        <f>'[5]TS BYDem'!A139</f>
        <v/>
      </c>
      <c r="B200" s="227" t="s">
        <v>295</v>
      </c>
      <c r="C200" s="227" t="s">
        <v>138</v>
      </c>
      <c r="D200" s="227" t="str">
        <f>'[5]TS BYDem'!D139</f>
        <v>IFBO</v>
      </c>
      <c r="E200" s="227" t="s">
        <v>138</v>
      </c>
      <c r="F200" s="227" t="s">
        <v>138</v>
      </c>
      <c r="G200" s="227" t="s">
        <v>138</v>
      </c>
      <c r="H200" s="227" t="s">
        <v>138</v>
      </c>
      <c r="I200" s="227">
        <v>0</v>
      </c>
      <c r="J200" s="227">
        <f>INDEX('[5]TS BYDem'!$J$10:$J$203,MATCH(D200,'[5]TS BYDem'!$D$10:$D$203,0))</f>
        <v>2.6822571940841642</v>
      </c>
      <c r="K200" s="227">
        <f t="shared" ca="1" si="68"/>
        <v>2.7545763216169301</v>
      </c>
      <c r="L200" s="227">
        <f t="shared" ca="1" si="68"/>
        <v>2.8268954491496956</v>
      </c>
      <c r="M200" s="234">
        <f t="shared" si="69"/>
        <v>2.5119360000000004</v>
      </c>
      <c r="N200" s="234">
        <f t="shared" si="70"/>
        <v>2.5119360000000004</v>
      </c>
      <c r="O200" s="234">
        <f>INDEX('[5]TS BYDem'!$O$10:$O$203,MATCH(D200,'[5]TS BYDem'!$D$10:$D$203,0))</f>
        <v>2.5119360000000004</v>
      </c>
      <c r="P200" s="227">
        <f t="shared" ca="1" si="68"/>
        <v>2.5410690034096013</v>
      </c>
      <c r="Q200" s="227">
        <f t="shared" ca="1" si="68"/>
        <v>2.5702020068192017</v>
      </c>
      <c r="R200" s="227">
        <f t="shared" ca="1" si="68"/>
        <v>2.5993350102288022</v>
      </c>
      <c r="S200" s="227">
        <f t="shared" ca="1" si="68"/>
        <v>2.6465756397988498</v>
      </c>
      <c r="T200" s="227">
        <f t="shared" ca="1" si="68"/>
        <v>2.6938162693688974</v>
      </c>
      <c r="U200" s="227">
        <f t="shared" ca="1" si="68"/>
        <v>2.741056898938945</v>
      </c>
      <c r="V200" s="227">
        <f t="shared" ca="1" si="68"/>
        <v>2.7882975285089926</v>
      </c>
      <c r="W200" s="227">
        <f t="shared" ca="1" si="68"/>
        <v>2.8355381580790389</v>
      </c>
      <c r="X200" s="227">
        <f t="shared" ca="1" si="68"/>
        <v>2.9002994861768414</v>
      </c>
      <c r="Y200" s="227">
        <f t="shared" ca="1" si="68"/>
        <v>2.965060814274644</v>
      </c>
      <c r="Z200" s="227">
        <f t="shared" ca="1" si="68"/>
        <v>3.0298221423724465</v>
      </c>
      <c r="AA200" s="227">
        <f t="shared" ca="1" si="71"/>
        <v>3.0945834704702491</v>
      </c>
      <c r="AB200" s="227">
        <f t="shared" ca="1" si="71"/>
        <v>3.1593447985680507</v>
      </c>
      <c r="AC200" s="227">
        <f t="shared" ca="1" si="71"/>
        <v>3.214789476723781</v>
      </c>
      <c r="AD200" s="227">
        <f t="shared" ca="1" si="71"/>
        <v>3.2702341548795104</v>
      </c>
      <c r="AE200" s="227">
        <f t="shared" ca="1" si="71"/>
        <v>3.3256788330352398</v>
      </c>
      <c r="AF200" s="227">
        <f t="shared" ca="1" si="71"/>
        <v>3.3811235111909692</v>
      </c>
      <c r="AG200" s="227">
        <f t="shared" ca="1" si="71"/>
        <v>3.4365681893466991</v>
      </c>
      <c r="AH200" s="227">
        <f t="shared" ca="1" si="71"/>
        <v>3.5010207419447217</v>
      </c>
      <c r="AI200" s="227">
        <f t="shared" ca="1" si="71"/>
        <v>3.5654732945427443</v>
      </c>
      <c r="AJ200" s="227">
        <f t="shared" ca="1" si="71"/>
        <v>3.6299258471407669</v>
      </c>
      <c r="AK200" s="227">
        <f t="shared" ca="1" si="71"/>
        <v>3.69437839973879</v>
      </c>
      <c r="AL200" s="227">
        <f t="shared" ca="1" si="71"/>
        <v>3.7588309523368126</v>
      </c>
      <c r="AM200" s="227">
        <f t="shared" ca="1" si="71"/>
        <v>4.0397435712742116</v>
      </c>
      <c r="AN200" s="227">
        <f t="shared" ca="1" si="71"/>
        <v>4.3391655645004956</v>
      </c>
      <c r="AO200" s="227">
        <f t="shared" ca="1" si="71"/>
        <v>4.9164152809493604</v>
      </c>
      <c r="AP200" s="227">
        <f t="shared" ca="1" si="71"/>
        <v>5.496749893113055</v>
      </c>
    </row>
    <row r="201" spans="1:42">
      <c r="A201" s="61" t="str">
        <f>'[5]TS BYDem'!A140</f>
        <v/>
      </c>
      <c r="B201" s="227" t="s">
        <v>295</v>
      </c>
      <c r="C201" s="227" t="s">
        <v>138</v>
      </c>
      <c r="D201" s="227" t="str">
        <f>'[5]TS BYDem'!D140</f>
        <v>IFBE</v>
      </c>
      <c r="E201" s="227" t="s">
        <v>138</v>
      </c>
      <c r="F201" s="227" t="s">
        <v>138</v>
      </c>
      <c r="G201" s="227" t="s">
        <v>138</v>
      </c>
      <c r="H201" s="227" t="s">
        <v>138</v>
      </c>
      <c r="I201" s="227">
        <v>0</v>
      </c>
      <c r="J201" s="227">
        <f>INDEX('[5]TS BYDem'!$J$10:$J$203,MATCH(D201,'[5]TS BYDem'!$D$10:$D$203,0))</f>
        <v>0</v>
      </c>
      <c r="K201" s="227">
        <f t="shared" ca="1" si="68"/>
        <v>0</v>
      </c>
      <c r="L201" s="227">
        <f t="shared" ca="1" si="68"/>
        <v>0</v>
      </c>
      <c r="M201" s="234">
        <f t="shared" si="69"/>
        <v>0</v>
      </c>
      <c r="N201" s="234">
        <f t="shared" si="70"/>
        <v>0</v>
      </c>
      <c r="O201" s="234">
        <f>INDEX('[5]TS BYDem'!$O$10:$O$203,MATCH(D201,'[5]TS BYDem'!$D$10:$D$203,0))</f>
        <v>0</v>
      </c>
      <c r="P201" s="227">
        <f t="shared" ca="1" si="68"/>
        <v>0</v>
      </c>
      <c r="Q201" s="227">
        <f t="shared" ca="1" si="68"/>
        <v>0</v>
      </c>
      <c r="R201" s="227">
        <f t="shared" ca="1" si="68"/>
        <v>0</v>
      </c>
      <c r="S201" s="227">
        <f t="shared" ca="1" si="68"/>
        <v>0</v>
      </c>
      <c r="T201" s="227">
        <f t="shared" ca="1" si="68"/>
        <v>0</v>
      </c>
      <c r="U201" s="227">
        <f t="shared" ca="1" si="68"/>
        <v>0</v>
      </c>
      <c r="V201" s="227">
        <f t="shared" ca="1" si="68"/>
        <v>0</v>
      </c>
      <c r="W201" s="227">
        <f t="shared" ca="1" si="68"/>
        <v>0</v>
      </c>
      <c r="X201" s="227">
        <f t="shared" ca="1" si="68"/>
        <v>0</v>
      </c>
      <c r="Y201" s="227">
        <f t="shared" ca="1" si="68"/>
        <v>0</v>
      </c>
      <c r="Z201" s="227">
        <f t="shared" ca="1" si="68"/>
        <v>0</v>
      </c>
      <c r="AA201" s="227">
        <f t="shared" ca="1" si="71"/>
        <v>0</v>
      </c>
      <c r="AB201" s="227">
        <f t="shared" ca="1" si="71"/>
        <v>0</v>
      </c>
      <c r="AC201" s="227">
        <f t="shared" ca="1" si="71"/>
        <v>0</v>
      </c>
      <c r="AD201" s="227">
        <f t="shared" ca="1" si="71"/>
        <v>0</v>
      </c>
      <c r="AE201" s="227">
        <f t="shared" ca="1" si="71"/>
        <v>0</v>
      </c>
      <c r="AF201" s="227">
        <f t="shared" ca="1" si="71"/>
        <v>0</v>
      </c>
      <c r="AG201" s="227">
        <f t="shared" ca="1" si="71"/>
        <v>0</v>
      </c>
      <c r="AH201" s="227">
        <f t="shared" ca="1" si="71"/>
        <v>0</v>
      </c>
      <c r="AI201" s="227">
        <f t="shared" ca="1" si="71"/>
        <v>0</v>
      </c>
      <c r="AJ201" s="227">
        <f t="shared" ca="1" si="71"/>
        <v>0</v>
      </c>
      <c r="AK201" s="227">
        <f t="shared" ca="1" si="71"/>
        <v>0</v>
      </c>
      <c r="AL201" s="227">
        <f t="shared" ca="1" si="71"/>
        <v>0</v>
      </c>
      <c r="AM201" s="227">
        <f t="shared" ca="1" si="71"/>
        <v>0</v>
      </c>
      <c r="AN201" s="227">
        <f t="shared" ca="1" si="71"/>
        <v>0</v>
      </c>
      <c r="AO201" s="227">
        <f t="shared" ca="1" si="71"/>
        <v>0</v>
      </c>
      <c r="AP201" s="227">
        <f t="shared" ca="1" si="71"/>
        <v>0</v>
      </c>
    </row>
    <row r="202" spans="1:42">
      <c r="A202" s="61" t="str">
        <f>'[5]TS BYDem'!A141</f>
        <v>*</v>
      </c>
      <c r="B202" s="227" t="s">
        <v>295</v>
      </c>
      <c r="C202" s="227" t="s">
        <v>138</v>
      </c>
      <c r="D202" s="227" t="str">
        <f>'[5]TS BYDem'!D141</f>
        <v xml:space="preserve"> </v>
      </c>
      <c r="E202" s="227" t="s">
        <v>138</v>
      </c>
      <c r="F202" s="227" t="s">
        <v>138</v>
      </c>
      <c r="G202" s="227" t="s">
        <v>138</v>
      </c>
      <c r="H202" s="227" t="s">
        <v>138</v>
      </c>
      <c r="I202" s="227">
        <v>0</v>
      </c>
      <c r="J202" s="227" t="str">
        <f>INDEX('[5]TS BYDem'!$J$10:$J$203,MATCH(D202,'[5]TS BYDem'!$D$10:$D$203,0))</f>
        <v/>
      </c>
      <c r="K202" s="227" t="e">
        <f t="shared" ca="1" si="68"/>
        <v>#VALUE!</v>
      </c>
      <c r="L202" s="227" t="e">
        <f t="shared" ca="1" si="68"/>
        <v>#VALUE!</v>
      </c>
      <c r="M202" s="227" t="e">
        <f t="shared" ca="1" si="68"/>
        <v>#VALUE!</v>
      </c>
      <c r="N202" s="227" t="e">
        <f t="shared" ca="1" si="68"/>
        <v>#VALUE!</v>
      </c>
      <c r="O202" s="227" t="e">
        <f t="shared" ca="1" si="68"/>
        <v>#VALUE!</v>
      </c>
      <c r="P202" s="227" t="e">
        <f t="shared" ca="1" si="68"/>
        <v>#VALUE!</v>
      </c>
      <c r="Q202" s="227" t="e">
        <f t="shared" ca="1" si="68"/>
        <v>#VALUE!</v>
      </c>
      <c r="R202" s="227" t="e">
        <f t="shared" ca="1" si="68"/>
        <v>#VALUE!</v>
      </c>
      <c r="S202" s="227" t="e">
        <f t="shared" ca="1" si="68"/>
        <v>#VALUE!</v>
      </c>
      <c r="T202" s="227" t="e">
        <f t="shared" ca="1" si="68"/>
        <v>#VALUE!</v>
      </c>
      <c r="U202" s="227" t="e">
        <f t="shared" ca="1" si="68"/>
        <v>#VALUE!</v>
      </c>
      <c r="V202" s="227" t="e">
        <f t="shared" ca="1" si="68"/>
        <v>#VALUE!</v>
      </c>
      <c r="W202" s="227" t="e">
        <f t="shared" ca="1" si="68"/>
        <v>#VALUE!</v>
      </c>
      <c r="X202" s="227" t="e">
        <f t="shared" ca="1" si="68"/>
        <v>#VALUE!</v>
      </c>
      <c r="Y202" s="227" t="e">
        <f t="shared" ca="1" si="68"/>
        <v>#VALUE!</v>
      </c>
      <c r="Z202" s="227" t="e">
        <f t="shared" ca="1" si="68"/>
        <v>#VALUE!</v>
      </c>
      <c r="AA202" s="227" t="e">
        <f t="shared" ca="1" si="71"/>
        <v>#VALUE!</v>
      </c>
      <c r="AB202" s="227" t="e">
        <f t="shared" ca="1" si="71"/>
        <v>#VALUE!</v>
      </c>
      <c r="AC202" s="227" t="e">
        <f t="shared" ca="1" si="71"/>
        <v>#VALUE!</v>
      </c>
      <c r="AD202" s="227" t="e">
        <f t="shared" ca="1" si="71"/>
        <v>#VALUE!</v>
      </c>
      <c r="AE202" s="227" t="e">
        <f t="shared" ca="1" si="71"/>
        <v>#VALUE!</v>
      </c>
      <c r="AF202" s="227" t="e">
        <f t="shared" ca="1" si="71"/>
        <v>#VALUE!</v>
      </c>
      <c r="AG202" s="227" t="e">
        <f t="shared" ca="1" si="71"/>
        <v>#VALUE!</v>
      </c>
      <c r="AH202" s="227" t="e">
        <f t="shared" ca="1" si="71"/>
        <v>#VALUE!</v>
      </c>
      <c r="AI202" s="227" t="e">
        <f t="shared" ca="1" si="71"/>
        <v>#VALUE!</v>
      </c>
      <c r="AJ202" s="227" t="e">
        <f t="shared" ca="1" si="71"/>
        <v>#VALUE!</v>
      </c>
      <c r="AK202" s="227" t="e">
        <f t="shared" ca="1" si="71"/>
        <v>#VALUE!</v>
      </c>
      <c r="AL202" s="227" t="e">
        <f t="shared" ca="1" si="71"/>
        <v>#VALUE!</v>
      </c>
      <c r="AM202" s="227" t="e">
        <f t="shared" ca="1" si="71"/>
        <v>#VALUE!</v>
      </c>
      <c r="AN202" s="227" t="e">
        <f t="shared" ca="1" si="71"/>
        <v>#VALUE!</v>
      </c>
      <c r="AO202" s="227" t="e">
        <f t="shared" ca="1" si="71"/>
        <v>#VALUE!</v>
      </c>
      <c r="AP202" s="227" t="e">
        <f t="shared" ca="1" si="71"/>
        <v>#VALUE!</v>
      </c>
    </row>
    <row r="203" spans="1:42">
      <c r="A203" s="61" t="str">
        <f>'[5]TS BYDem'!A142</f>
        <v/>
      </c>
      <c r="B203" s="227" t="s">
        <v>295</v>
      </c>
      <c r="C203" s="227" t="s">
        <v>138</v>
      </c>
      <c r="D203" s="227" t="str">
        <f>'[5]TS BYDem'!D142</f>
        <v>IFBS</v>
      </c>
      <c r="E203" s="227" t="s">
        <v>138</v>
      </c>
      <c r="F203" s="227" t="s">
        <v>138</v>
      </c>
      <c r="G203" s="227" t="s">
        <v>138</v>
      </c>
      <c r="H203" s="227" t="s">
        <v>138</v>
      </c>
      <c r="I203" s="227">
        <v>0</v>
      </c>
      <c r="J203" s="227">
        <f>INDEX('[5]TS BYDem'!$J$10:$J$203,MATCH(D203,'[5]TS BYDem'!$D$10:$D$203,0))</f>
        <v>20.421862032418336</v>
      </c>
      <c r="K203" s="227">
        <f t="shared" ca="1" si="68"/>
        <v>20.972477106929592</v>
      </c>
      <c r="L203" s="227">
        <f t="shared" ca="1" si="68"/>
        <v>21.523092181440845</v>
      </c>
      <c r="M203" s="234">
        <f t="shared" ref="M203" si="72">O203</f>
        <v>6.8922304000000008</v>
      </c>
      <c r="N203" s="234">
        <f t="shared" ref="N203" si="73">O203</f>
        <v>6.8922304000000008</v>
      </c>
      <c r="O203" s="234">
        <f>INDEX('[5]TS BYDem'!$O$10:$O$203,MATCH(D203,'[5]TS BYDem'!$D$10:$D$203,0))</f>
        <v>6.8922304000000008</v>
      </c>
      <c r="P203" s="227">
        <f t="shared" ca="1" si="68"/>
        <v>6.9721653074749348</v>
      </c>
      <c r="Q203" s="227">
        <f t="shared" ca="1" si="68"/>
        <v>7.0521002149498679</v>
      </c>
      <c r="R203" s="227">
        <f t="shared" ca="1" si="68"/>
        <v>7.1320351224248011</v>
      </c>
      <c r="S203" s="227">
        <f t="shared" ca="1" si="68"/>
        <v>7.2616535932926176</v>
      </c>
      <c r="T203" s="227">
        <f t="shared" ca="1" si="68"/>
        <v>7.391272064160435</v>
      </c>
      <c r="U203" s="227">
        <f t="shared" ca="1" si="68"/>
        <v>7.5208905350282516</v>
      </c>
      <c r="V203" s="227">
        <f t="shared" ca="1" si="68"/>
        <v>7.6505090058960681</v>
      </c>
      <c r="W203" s="227">
        <f t="shared" ca="1" si="68"/>
        <v>7.7801274767638819</v>
      </c>
      <c r="X203" s="227">
        <f t="shared" ca="1" si="68"/>
        <v>7.9578191035649031</v>
      </c>
      <c r="Y203" s="227">
        <f t="shared" ca="1" si="68"/>
        <v>8.1355107303659242</v>
      </c>
      <c r="Z203" s="227">
        <f t="shared" ca="1" si="68"/>
        <v>8.3132023571669453</v>
      </c>
      <c r="AA203" s="227">
        <f t="shared" ca="1" si="71"/>
        <v>8.4908939839679665</v>
      </c>
      <c r="AB203" s="227">
        <f t="shared" ca="1" si="71"/>
        <v>8.6685856107689858</v>
      </c>
      <c r="AC203" s="227">
        <f t="shared" ca="1" si="71"/>
        <v>8.8207142861425378</v>
      </c>
      <c r="AD203" s="227">
        <f t="shared" ca="1" si="71"/>
        <v>8.9728429615160881</v>
      </c>
      <c r="AE203" s="227">
        <f t="shared" ca="1" si="71"/>
        <v>9.1249716368896383</v>
      </c>
      <c r="AF203" s="227">
        <f t="shared" ca="1" si="71"/>
        <v>9.2771003122631885</v>
      </c>
      <c r="AG203" s="227">
        <f t="shared" ca="1" si="71"/>
        <v>9.4292289876367406</v>
      </c>
      <c r="AH203" s="227">
        <f t="shared" ca="1" si="71"/>
        <v>9.6060733986303681</v>
      </c>
      <c r="AI203" s="227">
        <f t="shared" ca="1" si="71"/>
        <v>9.7829178096239957</v>
      </c>
      <c r="AJ203" s="227">
        <f t="shared" ca="1" si="71"/>
        <v>9.9597622206176233</v>
      </c>
      <c r="AK203" s="227">
        <f t="shared" ca="1" si="71"/>
        <v>10.136606631611253</v>
      </c>
      <c r="AL203" s="227">
        <f t="shared" ca="1" si="71"/>
        <v>10.31345104260488</v>
      </c>
      <c r="AM203" s="227">
        <f t="shared" ca="1" si="71"/>
        <v>11.084216894913201</v>
      </c>
      <c r="AN203" s="227">
        <f t="shared" ca="1" si="71"/>
        <v>11.905768623994989</v>
      </c>
      <c r="AO203" s="227">
        <f t="shared" ca="1" si="71"/>
        <v>13.489621892589511</v>
      </c>
      <c r="AP203" s="227">
        <f t="shared" ca="1" si="71"/>
        <v>15.081939473979654</v>
      </c>
    </row>
    <row r="204" spans="1:42">
      <c r="A204" s="61" t="str">
        <f>'[5]TS BYDem'!A143</f>
        <v>*</v>
      </c>
      <c r="B204" s="227" t="s">
        <v>295</v>
      </c>
      <c r="C204" s="227" t="s">
        <v>138</v>
      </c>
      <c r="D204" s="227" t="str">
        <f>'[5]TS BYDem'!D143</f>
        <v>IFBS</v>
      </c>
      <c r="E204" s="227" t="s">
        <v>138</v>
      </c>
      <c r="F204" s="227" t="s">
        <v>138</v>
      </c>
      <c r="G204" s="227" t="s">
        <v>138</v>
      </c>
      <c r="H204" s="227" t="s">
        <v>138</v>
      </c>
      <c r="I204" s="227">
        <v>0</v>
      </c>
      <c r="J204" s="227">
        <f>INDEX('[5]TS BYDem'!$J$10:$J$203,MATCH(D204,'[5]TS BYDem'!$D$10:$D$203,0))</f>
        <v>20.421862032418336</v>
      </c>
      <c r="K204" s="227">
        <f t="shared" ca="1" si="68"/>
        <v>20.972477106929592</v>
      </c>
      <c r="L204" s="227">
        <f t="shared" ca="1" si="68"/>
        <v>21.523092181440845</v>
      </c>
      <c r="M204" s="227">
        <f t="shared" ca="1" si="68"/>
        <v>22.073707255952101</v>
      </c>
      <c r="N204" s="227">
        <f t="shared" ca="1" si="68"/>
        <v>22.335793596225002</v>
      </c>
      <c r="O204" s="227">
        <f t="shared" ca="1" si="68"/>
        <v>22.597879936497897</v>
      </c>
      <c r="P204" s="227">
        <f t="shared" ca="1" si="68"/>
        <v>22.859966276770795</v>
      </c>
      <c r="Q204" s="227">
        <f t="shared" ca="1" si="68"/>
        <v>23.122052617043693</v>
      </c>
      <c r="R204" s="227">
        <f t="shared" ca="1" si="68"/>
        <v>23.384138957316591</v>
      </c>
      <c r="S204" s="227">
        <f t="shared" ca="1" si="68"/>
        <v>23.809125133377009</v>
      </c>
      <c r="T204" s="227">
        <f t="shared" ca="1" si="68"/>
        <v>24.234111309437427</v>
      </c>
      <c r="U204" s="227">
        <f t="shared" ca="1" si="68"/>
        <v>24.659097485497846</v>
      </c>
      <c r="V204" s="227">
        <f t="shared" ca="1" si="68"/>
        <v>25.084083661558264</v>
      </c>
      <c r="W204" s="227">
        <f t="shared" ca="1" si="68"/>
        <v>25.509069837618675</v>
      </c>
      <c r="X204" s="227">
        <f t="shared" ca="1" si="68"/>
        <v>26.09167573079521</v>
      </c>
      <c r="Y204" s="227">
        <f t="shared" ca="1" si="68"/>
        <v>26.674281623971741</v>
      </c>
      <c r="Z204" s="227">
        <f t="shared" ca="1" si="68"/>
        <v>27.256887517148275</v>
      </c>
      <c r="AA204" s="227">
        <f t="shared" ca="1" si="71"/>
        <v>27.83949341032481</v>
      </c>
      <c r="AB204" s="227">
        <f t="shared" ca="1" si="71"/>
        <v>28.422099303501337</v>
      </c>
      <c r="AC204" s="227">
        <f t="shared" ca="1" si="71"/>
        <v>28.920890745672221</v>
      </c>
      <c r="AD204" s="227">
        <f t="shared" ca="1" si="71"/>
        <v>29.419682187843097</v>
      </c>
      <c r="AE204" s="227">
        <f t="shared" ca="1" si="71"/>
        <v>29.918473630013974</v>
      </c>
      <c r="AF204" s="227">
        <f t="shared" ca="1" si="71"/>
        <v>30.417265072184851</v>
      </c>
      <c r="AG204" s="227">
        <f t="shared" ca="1" si="71"/>
        <v>30.916056514355731</v>
      </c>
      <c r="AH204" s="227">
        <f t="shared" ca="1" si="71"/>
        <v>31.495884601222166</v>
      </c>
      <c r="AI204" s="227">
        <f t="shared" ca="1" si="71"/>
        <v>32.075712688088601</v>
      </c>
      <c r="AJ204" s="227">
        <f t="shared" ca="1" si="71"/>
        <v>32.655540774955035</v>
      </c>
      <c r="AK204" s="227">
        <f t="shared" ca="1" si="71"/>
        <v>33.235368861821478</v>
      </c>
      <c r="AL204" s="227">
        <f t="shared" ca="1" si="71"/>
        <v>33.815196948687912</v>
      </c>
      <c r="AM204" s="227">
        <f t="shared" ca="1" si="71"/>
        <v>36.342343195803494</v>
      </c>
      <c r="AN204" s="227">
        <f t="shared" ca="1" si="71"/>
        <v>39.036003485426505</v>
      </c>
      <c r="AO204" s="227">
        <f t="shared" ca="1" si="71"/>
        <v>44.229057681747157</v>
      </c>
      <c r="AP204" s="227">
        <f t="shared" ca="1" si="71"/>
        <v>49.44986421848585</v>
      </c>
    </row>
    <row r="205" spans="1:42">
      <c r="A205" s="61" t="str">
        <f>'[5]TS BYDem'!A144</f>
        <v>*</v>
      </c>
      <c r="B205" s="227" t="s">
        <v>295</v>
      </c>
      <c r="C205" s="227" t="s">
        <v>138</v>
      </c>
      <c r="D205" s="227" t="str">
        <f>'[5]TS BYDem'!D144</f>
        <v>IFBS</v>
      </c>
      <c r="E205" s="227" t="s">
        <v>138</v>
      </c>
      <c r="F205" s="227" t="s">
        <v>138</v>
      </c>
      <c r="G205" s="227" t="s">
        <v>138</v>
      </c>
      <c r="H205" s="227" t="s">
        <v>138</v>
      </c>
      <c r="I205" s="227">
        <v>0</v>
      </c>
      <c r="J205" s="227">
        <f>INDEX('[5]TS BYDem'!$J$10:$J$203,MATCH(D205,'[5]TS BYDem'!$D$10:$D$203,0))</f>
        <v>20.421862032418336</v>
      </c>
      <c r="K205" s="227">
        <f t="shared" ca="1" si="68"/>
        <v>20.972477106929592</v>
      </c>
      <c r="L205" s="227">
        <f t="shared" ca="1" si="68"/>
        <v>21.523092181440845</v>
      </c>
      <c r="M205" s="227">
        <f t="shared" ca="1" si="68"/>
        <v>22.073707255952101</v>
      </c>
      <c r="N205" s="227">
        <f t="shared" ca="1" si="68"/>
        <v>22.335793596225002</v>
      </c>
      <c r="O205" s="227">
        <f t="shared" ca="1" si="68"/>
        <v>22.597879936497897</v>
      </c>
      <c r="P205" s="227">
        <f t="shared" ca="1" si="68"/>
        <v>22.859966276770795</v>
      </c>
      <c r="Q205" s="227">
        <f t="shared" ca="1" si="68"/>
        <v>23.122052617043693</v>
      </c>
      <c r="R205" s="227">
        <f t="shared" ca="1" si="68"/>
        <v>23.384138957316591</v>
      </c>
      <c r="S205" s="227">
        <f t="shared" ca="1" si="68"/>
        <v>23.809125133377009</v>
      </c>
      <c r="T205" s="227">
        <f t="shared" ca="1" si="68"/>
        <v>24.234111309437427</v>
      </c>
      <c r="U205" s="227">
        <f t="shared" ca="1" si="68"/>
        <v>24.659097485497846</v>
      </c>
      <c r="V205" s="227">
        <f t="shared" ca="1" si="68"/>
        <v>25.084083661558264</v>
      </c>
      <c r="W205" s="227">
        <f t="shared" ca="1" si="68"/>
        <v>25.509069837618675</v>
      </c>
      <c r="X205" s="227">
        <f t="shared" ca="1" si="68"/>
        <v>26.09167573079521</v>
      </c>
      <c r="Y205" s="227">
        <f t="shared" ca="1" si="68"/>
        <v>26.674281623971741</v>
      </c>
      <c r="Z205" s="227">
        <f t="shared" ca="1" si="68"/>
        <v>27.256887517148275</v>
      </c>
      <c r="AA205" s="227">
        <f t="shared" ca="1" si="71"/>
        <v>27.83949341032481</v>
      </c>
      <c r="AB205" s="227">
        <f t="shared" ca="1" si="71"/>
        <v>28.422099303501337</v>
      </c>
      <c r="AC205" s="227">
        <f t="shared" ca="1" si="71"/>
        <v>28.920890745672221</v>
      </c>
      <c r="AD205" s="227">
        <f t="shared" ca="1" si="71"/>
        <v>29.419682187843097</v>
      </c>
      <c r="AE205" s="227">
        <f t="shared" ca="1" si="71"/>
        <v>29.918473630013974</v>
      </c>
      <c r="AF205" s="227">
        <f t="shared" ca="1" si="71"/>
        <v>30.417265072184851</v>
      </c>
      <c r="AG205" s="227">
        <f t="shared" ca="1" si="71"/>
        <v>30.916056514355731</v>
      </c>
      <c r="AH205" s="227">
        <f t="shared" ca="1" si="71"/>
        <v>31.495884601222166</v>
      </c>
      <c r="AI205" s="227">
        <f t="shared" ca="1" si="71"/>
        <v>32.075712688088601</v>
      </c>
      <c r="AJ205" s="227">
        <f t="shared" ca="1" si="71"/>
        <v>32.655540774955035</v>
      </c>
      <c r="AK205" s="227">
        <f t="shared" ca="1" si="71"/>
        <v>33.235368861821478</v>
      </c>
      <c r="AL205" s="227">
        <f t="shared" ca="1" si="71"/>
        <v>33.815196948687912</v>
      </c>
      <c r="AM205" s="227">
        <f t="shared" ca="1" si="71"/>
        <v>36.342343195803494</v>
      </c>
      <c r="AN205" s="227">
        <f t="shared" ca="1" si="71"/>
        <v>39.036003485426505</v>
      </c>
      <c r="AO205" s="227">
        <f t="shared" ca="1" si="71"/>
        <v>44.229057681747157</v>
      </c>
      <c r="AP205" s="227">
        <f t="shared" ca="1" si="71"/>
        <v>49.44986421848585</v>
      </c>
    </row>
    <row r="206" spans="1:42">
      <c r="A206" s="61" t="str">
        <f>'[5]TS BYDem'!A145</f>
        <v>*</v>
      </c>
      <c r="B206" s="227" t="s">
        <v>295</v>
      </c>
      <c r="C206" s="227" t="s">
        <v>138</v>
      </c>
      <c r="D206" s="227" t="str">
        <f>'[5]TS BYDem'!D145</f>
        <v>IFBS</v>
      </c>
      <c r="E206" s="227" t="s">
        <v>138</v>
      </c>
      <c r="F206" s="227" t="s">
        <v>138</v>
      </c>
      <c r="G206" s="227" t="s">
        <v>138</v>
      </c>
      <c r="H206" s="227" t="s">
        <v>138</v>
      </c>
      <c r="I206" s="227">
        <v>0</v>
      </c>
      <c r="J206" s="227">
        <f>INDEX('[5]TS BYDem'!$J$10:$J$203,MATCH(D206,'[5]TS BYDem'!$D$10:$D$203,0))</f>
        <v>20.421862032418336</v>
      </c>
      <c r="K206" s="227">
        <f t="shared" ca="1" si="68"/>
        <v>20.972477106929592</v>
      </c>
      <c r="L206" s="227">
        <f t="shared" ca="1" si="68"/>
        <v>21.523092181440845</v>
      </c>
      <c r="M206" s="227">
        <f t="shared" ca="1" si="68"/>
        <v>22.073707255952101</v>
      </c>
      <c r="N206" s="227">
        <f t="shared" ca="1" si="68"/>
        <v>22.335793596225002</v>
      </c>
      <c r="O206" s="227">
        <f t="shared" ca="1" si="68"/>
        <v>22.597879936497897</v>
      </c>
      <c r="P206" s="227">
        <f t="shared" ca="1" si="68"/>
        <v>22.859966276770795</v>
      </c>
      <c r="Q206" s="227">
        <f t="shared" ca="1" si="68"/>
        <v>23.122052617043693</v>
      </c>
      <c r="R206" s="227">
        <f t="shared" ca="1" si="68"/>
        <v>23.384138957316591</v>
      </c>
      <c r="S206" s="227">
        <f t="shared" ca="1" si="68"/>
        <v>23.809125133377009</v>
      </c>
      <c r="T206" s="227">
        <f t="shared" ca="1" si="68"/>
        <v>24.234111309437427</v>
      </c>
      <c r="U206" s="227">
        <f t="shared" ca="1" si="68"/>
        <v>24.659097485497846</v>
      </c>
      <c r="V206" s="227">
        <f t="shared" ca="1" si="68"/>
        <v>25.084083661558264</v>
      </c>
      <c r="W206" s="227">
        <f t="shared" ca="1" si="68"/>
        <v>25.509069837618675</v>
      </c>
      <c r="X206" s="227">
        <f t="shared" ca="1" si="68"/>
        <v>26.09167573079521</v>
      </c>
      <c r="Y206" s="227">
        <f t="shared" ca="1" si="68"/>
        <v>26.674281623971741</v>
      </c>
      <c r="Z206" s="227">
        <f t="shared" ca="1" si="68"/>
        <v>27.256887517148275</v>
      </c>
      <c r="AA206" s="227">
        <f t="shared" ca="1" si="71"/>
        <v>27.83949341032481</v>
      </c>
      <c r="AB206" s="227">
        <f t="shared" ca="1" si="71"/>
        <v>28.422099303501337</v>
      </c>
      <c r="AC206" s="227">
        <f t="shared" ca="1" si="71"/>
        <v>28.920890745672221</v>
      </c>
      <c r="AD206" s="227">
        <f t="shared" ca="1" si="71"/>
        <v>29.419682187843097</v>
      </c>
      <c r="AE206" s="227">
        <f t="shared" ca="1" si="71"/>
        <v>29.918473630013974</v>
      </c>
      <c r="AF206" s="227">
        <f t="shared" ca="1" si="71"/>
        <v>30.417265072184851</v>
      </c>
      <c r="AG206" s="227">
        <f t="shared" ca="1" si="71"/>
        <v>30.916056514355731</v>
      </c>
      <c r="AH206" s="227">
        <f t="shared" ca="1" si="71"/>
        <v>31.495884601222166</v>
      </c>
      <c r="AI206" s="227">
        <f t="shared" ca="1" si="71"/>
        <v>32.075712688088601</v>
      </c>
      <c r="AJ206" s="227">
        <f t="shared" ca="1" si="71"/>
        <v>32.655540774955035</v>
      </c>
      <c r="AK206" s="227">
        <f t="shared" ca="1" si="71"/>
        <v>33.235368861821478</v>
      </c>
      <c r="AL206" s="227">
        <f t="shared" ca="1" si="71"/>
        <v>33.815196948687912</v>
      </c>
      <c r="AM206" s="227">
        <f t="shared" ca="1" si="71"/>
        <v>36.342343195803494</v>
      </c>
      <c r="AN206" s="227">
        <f t="shared" ca="1" si="71"/>
        <v>39.036003485426505</v>
      </c>
      <c r="AO206" s="227">
        <f t="shared" ca="1" si="71"/>
        <v>44.229057681747157</v>
      </c>
      <c r="AP206" s="227">
        <f t="shared" ca="1" si="71"/>
        <v>49.44986421848585</v>
      </c>
    </row>
    <row r="207" spans="1:42">
      <c r="A207" s="61" t="str">
        <f>'[5]TS BYDem'!A146</f>
        <v>*</v>
      </c>
      <c r="B207" s="227" t="s">
        <v>295</v>
      </c>
      <c r="C207" s="227" t="s">
        <v>138</v>
      </c>
      <c r="D207" s="227" t="str">
        <f>'[5]TS BYDem'!D146</f>
        <v>IFBS</v>
      </c>
      <c r="E207" s="227" t="s">
        <v>138</v>
      </c>
      <c r="F207" s="227" t="s">
        <v>138</v>
      </c>
      <c r="G207" s="227" t="s">
        <v>138</v>
      </c>
      <c r="H207" s="227" t="s">
        <v>138</v>
      </c>
      <c r="I207" s="227">
        <v>0</v>
      </c>
      <c r="J207" s="227">
        <f>INDEX('[5]TS BYDem'!$J$10:$J$203,MATCH(D207,'[5]TS BYDem'!$D$10:$D$203,0))</f>
        <v>20.421862032418336</v>
      </c>
      <c r="K207" s="227">
        <f t="shared" ca="1" si="68"/>
        <v>20.972477106929592</v>
      </c>
      <c r="L207" s="227">
        <f t="shared" ca="1" si="68"/>
        <v>21.523092181440845</v>
      </c>
      <c r="M207" s="227">
        <f t="shared" ca="1" si="68"/>
        <v>22.073707255952101</v>
      </c>
      <c r="N207" s="227">
        <f t="shared" ca="1" si="68"/>
        <v>22.335793596225002</v>
      </c>
      <c r="O207" s="227">
        <f t="shared" ca="1" si="68"/>
        <v>22.597879936497897</v>
      </c>
      <c r="P207" s="227">
        <f t="shared" ca="1" si="68"/>
        <v>22.859966276770795</v>
      </c>
      <c r="Q207" s="227">
        <f t="shared" ca="1" si="68"/>
        <v>23.122052617043693</v>
      </c>
      <c r="R207" s="227">
        <f t="shared" ca="1" si="68"/>
        <v>23.384138957316591</v>
      </c>
      <c r="S207" s="227">
        <f t="shared" ca="1" si="68"/>
        <v>23.809125133377009</v>
      </c>
      <c r="T207" s="227">
        <f t="shared" ca="1" si="68"/>
        <v>24.234111309437427</v>
      </c>
      <c r="U207" s="227">
        <f t="shared" ca="1" si="68"/>
        <v>24.659097485497846</v>
      </c>
      <c r="V207" s="227">
        <f t="shared" ca="1" si="68"/>
        <v>25.084083661558264</v>
      </c>
      <c r="W207" s="227">
        <f t="shared" ca="1" si="68"/>
        <v>25.509069837618675</v>
      </c>
      <c r="X207" s="227">
        <f t="shared" ca="1" si="68"/>
        <v>26.09167573079521</v>
      </c>
      <c r="Y207" s="227">
        <f t="shared" ca="1" si="68"/>
        <v>26.674281623971741</v>
      </c>
      <c r="Z207" s="227">
        <f t="shared" ca="1" si="68"/>
        <v>27.256887517148275</v>
      </c>
      <c r="AA207" s="227">
        <f t="shared" ca="1" si="71"/>
        <v>27.83949341032481</v>
      </c>
      <c r="AB207" s="227">
        <f t="shared" ca="1" si="71"/>
        <v>28.422099303501337</v>
      </c>
      <c r="AC207" s="227">
        <f t="shared" ca="1" si="71"/>
        <v>28.920890745672221</v>
      </c>
      <c r="AD207" s="227">
        <f t="shared" ca="1" si="71"/>
        <v>29.419682187843097</v>
      </c>
      <c r="AE207" s="227">
        <f t="shared" ca="1" si="71"/>
        <v>29.918473630013974</v>
      </c>
      <c r="AF207" s="227">
        <f t="shared" ca="1" si="71"/>
        <v>30.417265072184851</v>
      </c>
      <c r="AG207" s="227">
        <f t="shared" ca="1" si="71"/>
        <v>30.916056514355731</v>
      </c>
      <c r="AH207" s="227">
        <f t="shared" ca="1" si="71"/>
        <v>31.495884601222166</v>
      </c>
      <c r="AI207" s="227">
        <f t="shared" ca="1" si="71"/>
        <v>32.075712688088601</v>
      </c>
      <c r="AJ207" s="227">
        <f t="shared" ca="1" si="71"/>
        <v>32.655540774955035</v>
      </c>
      <c r="AK207" s="227">
        <f t="shared" ca="1" si="71"/>
        <v>33.235368861821478</v>
      </c>
      <c r="AL207" s="227">
        <f t="shared" ca="1" si="71"/>
        <v>33.815196948687912</v>
      </c>
      <c r="AM207" s="227">
        <f t="shared" ca="1" si="71"/>
        <v>36.342343195803494</v>
      </c>
      <c r="AN207" s="227">
        <f t="shared" ca="1" si="71"/>
        <v>39.036003485426505</v>
      </c>
      <c r="AO207" s="227">
        <f t="shared" ca="1" si="71"/>
        <v>44.229057681747157</v>
      </c>
      <c r="AP207" s="227">
        <f t="shared" ca="1" si="71"/>
        <v>49.44986421848585</v>
      </c>
    </row>
    <row r="208" spans="1:42">
      <c r="A208" s="61" t="str">
        <f>'[5]TS BYDem'!A147</f>
        <v>*</v>
      </c>
      <c r="B208" s="227" t="s">
        <v>295</v>
      </c>
      <c r="C208" s="227" t="s">
        <v>138</v>
      </c>
      <c r="D208" s="227" t="str">
        <f>'[5]TS BYDem'!D147</f>
        <v>IFBS</v>
      </c>
      <c r="E208" s="227" t="s">
        <v>138</v>
      </c>
      <c r="F208" s="227" t="s">
        <v>138</v>
      </c>
      <c r="G208" s="227" t="s">
        <v>138</v>
      </c>
      <c r="H208" s="227" t="s">
        <v>138</v>
      </c>
      <c r="I208" s="227">
        <v>0</v>
      </c>
      <c r="J208" s="227">
        <f>INDEX('[5]TS BYDem'!$J$10:$J$203,MATCH(D208,'[5]TS BYDem'!$D$10:$D$203,0))</f>
        <v>20.421862032418336</v>
      </c>
      <c r="K208" s="227">
        <f t="shared" ca="1" si="68"/>
        <v>20.972477106929592</v>
      </c>
      <c r="L208" s="227">
        <f t="shared" ca="1" si="68"/>
        <v>21.523092181440845</v>
      </c>
      <c r="M208" s="227">
        <f t="shared" ca="1" si="68"/>
        <v>22.073707255952101</v>
      </c>
      <c r="N208" s="227">
        <f t="shared" ca="1" si="68"/>
        <v>22.335793596225002</v>
      </c>
      <c r="O208" s="227">
        <f t="shared" ca="1" si="68"/>
        <v>22.597879936497897</v>
      </c>
      <c r="P208" s="227">
        <f t="shared" ca="1" si="68"/>
        <v>22.859966276770795</v>
      </c>
      <c r="Q208" s="227">
        <f t="shared" ca="1" si="68"/>
        <v>23.122052617043693</v>
      </c>
      <c r="R208" s="227">
        <f t="shared" ca="1" si="68"/>
        <v>23.384138957316591</v>
      </c>
      <c r="S208" s="227">
        <f t="shared" ca="1" si="68"/>
        <v>23.809125133377009</v>
      </c>
      <c r="T208" s="227">
        <f t="shared" ca="1" si="68"/>
        <v>24.234111309437427</v>
      </c>
      <c r="U208" s="227">
        <f t="shared" ca="1" si="68"/>
        <v>24.659097485497846</v>
      </c>
      <c r="V208" s="227">
        <f t="shared" ca="1" si="68"/>
        <v>25.084083661558264</v>
      </c>
      <c r="W208" s="227">
        <f t="shared" ca="1" si="68"/>
        <v>25.509069837618675</v>
      </c>
      <c r="X208" s="227">
        <f t="shared" ca="1" si="68"/>
        <v>26.09167573079521</v>
      </c>
      <c r="Y208" s="227">
        <f t="shared" ca="1" si="68"/>
        <v>26.674281623971741</v>
      </c>
      <c r="Z208" s="227">
        <f t="shared" ca="1" si="68"/>
        <v>27.256887517148275</v>
      </c>
      <c r="AA208" s="227">
        <f t="shared" ca="1" si="71"/>
        <v>27.83949341032481</v>
      </c>
      <c r="AB208" s="227">
        <f t="shared" ca="1" si="71"/>
        <v>28.422099303501337</v>
      </c>
      <c r="AC208" s="227">
        <f t="shared" ca="1" si="71"/>
        <v>28.920890745672221</v>
      </c>
      <c r="AD208" s="227">
        <f t="shared" ca="1" si="71"/>
        <v>29.419682187843097</v>
      </c>
      <c r="AE208" s="227">
        <f t="shared" ca="1" si="71"/>
        <v>29.918473630013974</v>
      </c>
      <c r="AF208" s="227">
        <f t="shared" ca="1" si="71"/>
        <v>30.417265072184851</v>
      </c>
      <c r="AG208" s="227">
        <f t="shared" ca="1" si="71"/>
        <v>30.916056514355731</v>
      </c>
      <c r="AH208" s="227">
        <f t="shared" ca="1" si="71"/>
        <v>31.495884601222166</v>
      </c>
      <c r="AI208" s="227">
        <f t="shared" ca="1" si="71"/>
        <v>32.075712688088601</v>
      </c>
      <c r="AJ208" s="227">
        <f t="shared" ca="1" si="71"/>
        <v>32.655540774955035</v>
      </c>
      <c r="AK208" s="227">
        <f t="shared" ca="1" si="71"/>
        <v>33.235368861821478</v>
      </c>
      <c r="AL208" s="227">
        <f t="shared" ca="1" si="71"/>
        <v>33.815196948687912</v>
      </c>
      <c r="AM208" s="227">
        <f t="shared" ca="1" si="71"/>
        <v>36.342343195803494</v>
      </c>
      <c r="AN208" s="227">
        <f t="shared" ca="1" si="71"/>
        <v>39.036003485426505</v>
      </c>
      <c r="AO208" s="227">
        <f t="shared" ca="1" si="71"/>
        <v>44.229057681747157</v>
      </c>
      <c r="AP208" s="227">
        <f t="shared" ref="AP208" ca="1" si="74">AP$192/AO$192*AO208</f>
        <v>49.44986421848585</v>
      </c>
    </row>
    <row r="209" spans="1:42">
      <c r="A209" s="61" t="str">
        <f>'[5]TS BYDem'!A148</f>
        <v>*</v>
      </c>
      <c r="B209" s="227" t="s">
        <v>295</v>
      </c>
      <c r="C209" s="227" t="s">
        <v>138</v>
      </c>
      <c r="D209" s="227" t="str">
        <f>'[5]TS BYDem'!D148</f>
        <v>IFBS</v>
      </c>
      <c r="E209" s="227" t="s">
        <v>138</v>
      </c>
      <c r="F209" s="227" t="s">
        <v>138</v>
      </c>
      <c r="G209" s="227" t="s">
        <v>138</v>
      </c>
      <c r="H209" s="227" t="s">
        <v>138</v>
      </c>
      <c r="I209" s="227">
        <v>0</v>
      </c>
      <c r="J209" s="227">
        <f>INDEX('[5]TS BYDem'!$J$10:$J$203,MATCH(D209,'[5]TS BYDem'!$D$10:$D$203,0))</f>
        <v>20.421862032418336</v>
      </c>
    </row>
    <row r="210" spans="1:42">
      <c r="A210" s="61" t="str">
        <f>'[5]TS BYDem'!A149</f>
        <v>*</v>
      </c>
      <c r="B210" s="227" t="s">
        <v>295</v>
      </c>
      <c r="C210" s="227" t="s">
        <v>138</v>
      </c>
      <c r="D210" s="227" t="str">
        <f>'[5]TS BYDem'!D149</f>
        <v>Useful Energy Service</v>
      </c>
      <c r="E210" s="227" t="s">
        <v>138</v>
      </c>
      <c r="F210" s="227" t="s">
        <v>138</v>
      </c>
      <c r="G210" s="227" t="s">
        <v>138</v>
      </c>
      <c r="H210" s="227" t="s">
        <v>138</v>
      </c>
      <c r="I210" s="227">
        <v>0</v>
      </c>
      <c r="J210" s="227" t="str">
        <f>INDEX('[5]TS BYDem'!$J$10:$J$203,MATCH(D210,'[5]TS BYDem'!$D$10:$D$203,0))</f>
        <v/>
      </c>
    </row>
    <row r="211" spans="1:42" s="5" customFormat="1">
      <c r="A211" s="61" t="str">
        <f>'[5]TS BYDem'!A146</f>
        <v>*</v>
      </c>
      <c r="B211" s="5">
        <f>B192+1</f>
        <v>11</v>
      </c>
      <c r="C211" s="3" t="str">
        <f ca="1">OFFSET($C$9,$B211,0)</f>
        <v>Pulp &amp; Paper Products</v>
      </c>
      <c r="D211" s="3" t="str">
        <f ca="1">OFFSET($B$9,$B211,0)</f>
        <v>PP</v>
      </c>
      <c r="J211" s="5">
        <f ca="1">SUMIF($B$10:$B$22,$D211,J$10:J$22)*SUMIF($B$10:$B$22,$D211,J$41:J$53)</f>
        <v>2.0326085837733456E-2</v>
      </c>
      <c r="K211" s="5">
        <f t="shared" ref="K211:AP211" ca="1" si="75">SUMIF($B$10:$B$22,$D211,K$10:K$22)*SUMIF($B$10:$B$22,$D211,K$41:K$53)</f>
        <v>2.080712865620871E-2</v>
      </c>
      <c r="L211" s="5">
        <f t="shared" ca="1" si="75"/>
        <v>2.1288171474683964E-2</v>
      </c>
      <c r="M211" s="5">
        <f t="shared" ca="1" si="75"/>
        <v>2.1769214293159218E-2</v>
      </c>
      <c r="N211" s="5">
        <f t="shared" ca="1" si="75"/>
        <v>2.2004535281057142E-2</v>
      </c>
      <c r="O211" s="5">
        <f t="shared" ca="1" si="75"/>
        <v>2.2239856268955065E-2</v>
      </c>
      <c r="P211" s="5">
        <f t="shared" ca="1" si="75"/>
        <v>2.2475177256852989E-2</v>
      </c>
      <c r="Q211" s="5">
        <f t="shared" ca="1" si="75"/>
        <v>2.2710498244750913E-2</v>
      </c>
      <c r="R211" s="5">
        <f t="shared" ca="1" si="75"/>
        <v>2.294581923264883E-2</v>
      </c>
      <c r="S211" s="5">
        <f t="shared" ca="1" si="75"/>
        <v>2.3431262475373641E-2</v>
      </c>
      <c r="T211" s="5">
        <f t="shared" ca="1" si="75"/>
        <v>2.3916705718098452E-2</v>
      </c>
      <c r="U211" s="5">
        <f t="shared" ca="1" si="75"/>
        <v>2.4402148960823263E-2</v>
      </c>
      <c r="V211" s="5">
        <f t="shared" ca="1" si="75"/>
        <v>2.4887592203548074E-2</v>
      </c>
      <c r="W211" s="5">
        <f t="shared" ca="1" si="75"/>
        <v>2.5373035446272878E-2</v>
      </c>
      <c r="X211" s="5">
        <f t="shared" ca="1" si="75"/>
        <v>2.5992416262902614E-2</v>
      </c>
      <c r="Y211" s="5">
        <f t="shared" ca="1" si="75"/>
        <v>2.6611797079532349E-2</v>
      </c>
      <c r="Z211" s="5">
        <f t="shared" ca="1" si="75"/>
        <v>2.7231177896162084E-2</v>
      </c>
      <c r="AA211" s="5">
        <f t="shared" ca="1" si="75"/>
        <v>2.785055871279182E-2</v>
      </c>
      <c r="AB211" s="5">
        <f t="shared" ca="1" si="75"/>
        <v>2.8469939529421555E-2</v>
      </c>
      <c r="AC211" s="5">
        <f t="shared" ca="1" si="75"/>
        <v>2.9051756520856457E-2</v>
      </c>
      <c r="AD211" s="5">
        <f t="shared" ca="1" si="75"/>
        <v>2.9633573512291358E-2</v>
      </c>
      <c r="AE211" s="5">
        <f t="shared" ca="1" si="75"/>
        <v>3.021539050372626E-2</v>
      </c>
      <c r="AF211" s="5">
        <f t="shared" ca="1" si="75"/>
        <v>3.0797207495161162E-2</v>
      </c>
      <c r="AG211" s="5">
        <f t="shared" ca="1" si="75"/>
        <v>3.137902448659606E-2</v>
      </c>
      <c r="AH211" s="5">
        <f t="shared" ca="1" si="75"/>
        <v>3.2088320500193113E-2</v>
      </c>
      <c r="AI211" s="5">
        <f t="shared" ca="1" si="75"/>
        <v>3.2797616513790165E-2</v>
      </c>
      <c r="AJ211" s="5">
        <f t="shared" ca="1" si="75"/>
        <v>3.3506912527387217E-2</v>
      </c>
      <c r="AK211" s="5">
        <f t="shared" ca="1" si="75"/>
        <v>3.4216208540984269E-2</v>
      </c>
      <c r="AL211" s="5">
        <f t="shared" ca="1" si="75"/>
        <v>3.4925504554581328E-2</v>
      </c>
      <c r="AM211" s="5">
        <f t="shared" ca="1" si="75"/>
        <v>3.8371846878603011E-2</v>
      </c>
      <c r="AN211" s="5">
        <f t="shared" ca="1" si="75"/>
        <v>4.2007024647754701E-2</v>
      </c>
      <c r="AO211" s="5">
        <f t="shared" ca="1" si="75"/>
        <v>4.9057072166739824E-2</v>
      </c>
      <c r="AP211" s="5">
        <f t="shared" ca="1" si="75"/>
        <v>5.6138592259913134E-2</v>
      </c>
    </row>
    <row r="212" spans="1:42">
      <c r="A212" s="61" t="str">
        <f>'[5]TS BYDem'!A151</f>
        <v>*</v>
      </c>
      <c r="B212" s="227" t="s">
        <v>295</v>
      </c>
      <c r="C212" s="227" t="s">
        <v>138</v>
      </c>
      <c r="D212" s="227">
        <f>'[5]TS BYDem'!D151</f>
        <v>2</v>
      </c>
      <c r="E212" s="227" t="s">
        <v>138</v>
      </c>
      <c r="F212" s="227" t="s">
        <v>138</v>
      </c>
      <c r="G212" s="227" t="s">
        <v>138</v>
      </c>
      <c r="H212" s="227" t="s">
        <v>138</v>
      </c>
      <c r="I212" s="227">
        <v>0</v>
      </c>
      <c r="J212" s="227" t="str">
        <f>INDEX('[5]TS BYDem'!$J$10:$J$203,MATCH(D212,'[5]TS BYDem'!$D$10:$D$203,0))</f>
        <v/>
      </c>
      <c r="K212" s="227" t="e">
        <f t="shared" ref="K212:Z227" ca="1" si="76">K$211/J$211*J212</f>
        <v>#VALUE!</v>
      </c>
      <c r="L212" s="227" t="e">
        <f t="shared" ca="1" si="76"/>
        <v>#VALUE!</v>
      </c>
      <c r="M212" s="227" t="e">
        <f t="shared" ca="1" si="76"/>
        <v>#VALUE!</v>
      </c>
      <c r="N212" s="227" t="e">
        <f t="shared" ca="1" si="76"/>
        <v>#VALUE!</v>
      </c>
      <c r="O212" s="227" t="e">
        <f t="shared" ca="1" si="76"/>
        <v>#VALUE!</v>
      </c>
      <c r="P212" s="227" t="e">
        <f t="shared" ca="1" si="76"/>
        <v>#VALUE!</v>
      </c>
      <c r="Q212" s="227" t="e">
        <f t="shared" ca="1" si="76"/>
        <v>#VALUE!</v>
      </c>
      <c r="R212" s="227" t="e">
        <f t="shared" ca="1" si="76"/>
        <v>#VALUE!</v>
      </c>
      <c r="S212" s="227" t="e">
        <f t="shared" ca="1" si="76"/>
        <v>#VALUE!</v>
      </c>
      <c r="T212" s="227" t="e">
        <f t="shared" ca="1" si="76"/>
        <v>#VALUE!</v>
      </c>
      <c r="U212" s="227" t="e">
        <f t="shared" ca="1" si="76"/>
        <v>#VALUE!</v>
      </c>
      <c r="V212" s="227" t="e">
        <f t="shared" ca="1" si="76"/>
        <v>#VALUE!</v>
      </c>
      <c r="W212" s="227" t="e">
        <f t="shared" ca="1" si="76"/>
        <v>#VALUE!</v>
      </c>
      <c r="X212" s="227" t="e">
        <f t="shared" ca="1" si="76"/>
        <v>#VALUE!</v>
      </c>
      <c r="Y212" s="227" t="e">
        <f t="shared" ca="1" si="76"/>
        <v>#VALUE!</v>
      </c>
      <c r="Z212" s="227" t="e">
        <f t="shared" ca="1" si="76"/>
        <v>#VALUE!</v>
      </c>
      <c r="AA212" s="227" t="e">
        <f t="shared" ref="AA212:AP227" ca="1" si="77">AA$211/Z$211*Z212</f>
        <v>#VALUE!</v>
      </c>
      <c r="AB212" s="227" t="e">
        <f t="shared" ca="1" si="77"/>
        <v>#VALUE!</v>
      </c>
      <c r="AC212" s="227" t="e">
        <f t="shared" ca="1" si="77"/>
        <v>#VALUE!</v>
      </c>
      <c r="AD212" s="227" t="e">
        <f t="shared" ca="1" si="77"/>
        <v>#VALUE!</v>
      </c>
      <c r="AE212" s="227" t="e">
        <f t="shared" ca="1" si="77"/>
        <v>#VALUE!</v>
      </c>
      <c r="AF212" s="227" t="e">
        <f t="shared" ca="1" si="77"/>
        <v>#VALUE!</v>
      </c>
      <c r="AG212" s="227" t="e">
        <f t="shared" ca="1" si="77"/>
        <v>#VALUE!</v>
      </c>
      <c r="AH212" s="227" t="e">
        <f t="shared" ca="1" si="77"/>
        <v>#VALUE!</v>
      </c>
      <c r="AI212" s="227" t="e">
        <f t="shared" ca="1" si="77"/>
        <v>#VALUE!</v>
      </c>
      <c r="AJ212" s="227" t="e">
        <f t="shared" ca="1" si="77"/>
        <v>#VALUE!</v>
      </c>
      <c r="AK212" s="227" t="e">
        <f t="shared" ca="1" si="77"/>
        <v>#VALUE!</v>
      </c>
      <c r="AL212" s="227" t="e">
        <f t="shared" ca="1" si="77"/>
        <v>#VALUE!</v>
      </c>
      <c r="AM212" s="227" t="e">
        <f t="shared" ca="1" si="77"/>
        <v>#VALUE!</v>
      </c>
      <c r="AN212" s="227" t="e">
        <f t="shared" ca="1" si="77"/>
        <v>#VALUE!</v>
      </c>
      <c r="AO212" s="227" t="e">
        <f t="shared" ca="1" si="77"/>
        <v>#VALUE!</v>
      </c>
      <c r="AP212" s="227" t="e">
        <f t="shared" ca="1" si="77"/>
        <v>#VALUE!</v>
      </c>
    </row>
    <row r="213" spans="1:42">
      <c r="A213" s="61" t="str">
        <f>'[5]TS BYDem'!A152</f>
        <v>*</v>
      </c>
      <c r="B213" s="227" t="s">
        <v>295</v>
      </c>
      <c r="C213" s="227" t="s">
        <v>138</v>
      </c>
      <c r="D213" s="227" t="str">
        <f>'[5]TS BYDem'!D152</f>
        <v>IPPK</v>
      </c>
      <c r="E213" s="227" t="s">
        <v>138</v>
      </c>
      <c r="F213" s="227" t="s">
        <v>138</v>
      </c>
      <c r="G213" s="227" t="s">
        <v>138</v>
      </c>
      <c r="H213" s="227" t="s">
        <v>138</v>
      </c>
      <c r="I213" s="227">
        <v>0</v>
      </c>
      <c r="J213" s="227" t="str">
        <f>INDEX('[5]TS BYDem'!$J$10:$J$203,MATCH(D213,'[5]TS BYDem'!$D$10:$D$203,0))</f>
        <v/>
      </c>
      <c r="K213" s="227" t="e">
        <f t="shared" ca="1" si="76"/>
        <v>#VALUE!</v>
      </c>
      <c r="L213" s="227" t="e">
        <f t="shared" ca="1" si="76"/>
        <v>#VALUE!</v>
      </c>
      <c r="M213" s="227" t="e">
        <f t="shared" ca="1" si="76"/>
        <v>#VALUE!</v>
      </c>
      <c r="N213" s="227" t="e">
        <f t="shared" ca="1" si="76"/>
        <v>#VALUE!</v>
      </c>
      <c r="O213" s="227" t="e">
        <f t="shared" ca="1" si="76"/>
        <v>#VALUE!</v>
      </c>
      <c r="P213" s="227" t="e">
        <f t="shared" ca="1" si="76"/>
        <v>#VALUE!</v>
      </c>
      <c r="Q213" s="227" t="e">
        <f t="shared" ca="1" si="76"/>
        <v>#VALUE!</v>
      </c>
      <c r="R213" s="227" t="e">
        <f t="shared" ca="1" si="76"/>
        <v>#VALUE!</v>
      </c>
      <c r="S213" s="227" t="e">
        <f t="shared" ca="1" si="76"/>
        <v>#VALUE!</v>
      </c>
      <c r="T213" s="227" t="e">
        <f t="shared" ca="1" si="76"/>
        <v>#VALUE!</v>
      </c>
      <c r="U213" s="227" t="e">
        <f t="shared" ca="1" si="76"/>
        <v>#VALUE!</v>
      </c>
      <c r="V213" s="227" t="e">
        <f t="shared" ca="1" si="76"/>
        <v>#VALUE!</v>
      </c>
      <c r="W213" s="227" t="e">
        <f t="shared" ca="1" si="76"/>
        <v>#VALUE!</v>
      </c>
      <c r="X213" s="227" t="e">
        <f t="shared" ca="1" si="76"/>
        <v>#VALUE!</v>
      </c>
      <c r="Y213" s="227" t="e">
        <f t="shared" ca="1" si="76"/>
        <v>#VALUE!</v>
      </c>
      <c r="Z213" s="227" t="e">
        <f t="shared" ca="1" si="76"/>
        <v>#VALUE!</v>
      </c>
      <c r="AA213" s="227" t="e">
        <f t="shared" ca="1" si="77"/>
        <v>#VALUE!</v>
      </c>
      <c r="AB213" s="227" t="e">
        <f t="shared" ca="1" si="77"/>
        <v>#VALUE!</v>
      </c>
      <c r="AC213" s="227" t="e">
        <f t="shared" ca="1" si="77"/>
        <v>#VALUE!</v>
      </c>
      <c r="AD213" s="227" t="e">
        <f t="shared" ca="1" si="77"/>
        <v>#VALUE!</v>
      </c>
      <c r="AE213" s="227" t="e">
        <f t="shared" ca="1" si="77"/>
        <v>#VALUE!</v>
      </c>
      <c r="AF213" s="227" t="e">
        <f t="shared" ca="1" si="77"/>
        <v>#VALUE!</v>
      </c>
      <c r="AG213" s="227" t="e">
        <f t="shared" ca="1" si="77"/>
        <v>#VALUE!</v>
      </c>
      <c r="AH213" s="227" t="e">
        <f t="shared" ca="1" si="77"/>
        <v>#VALUE!</v>
      </c>
      <c r="AI213" s="227" t="e">
        <f t="shared" ca="1" si="77"/>
        <v>#VALUE!</v>
      </c>
      <c r="AJ213" s="227" t="e">
        <f t="shared" ca="1" si="77"/>
        <v>#VALUE!</v>
      </c>
      <c r="AK213" s="227" t="e">
        <f t="shared" ca="1" si="77"/>
        <v>#VALUE!</v>
      </c>
      <c r="AL213" s="227" t="e">
        <f t="shared" ca="1" si="77"/>
        <v>#VALUE!</v>
      </c>
      <c r="AM213" s="227" t="e">
        <f t="shared" ca="1" si="77"/>
        <v>#VALUE!</v>
      </c>
      <c r="AN213" s="227" t="e">
        <f t="shared" ca="1" si="77"/>
        <v>#VALUE!</v>
      </c>
      <c r="AO213" s="227" t="e">
        <f t="shared" ca="1" si="77"/>
        <v>#VALUE!</v>
      </c>
      <c r="AP213" s="227" t="e">
        <f t="shared" ca="1" si="77"/>
        <v>#VALUE!</v>
      </c>
    </row>
    <row r="214" spans="1:42">
      <c r="A214" s="61" t="str">
        <f>'[5]TS BYDem'!A153</f>
        <v>*</v>
      </c>
      <c r="B214" s="227" t="s">
        <v>295</v>
      </c>
      <c r="C214" s="227" t="s">
        <v>138</v>
      </c>
      <c r="D214" s="227" t="str">
        <f>'[5]TS BYDem'!D153</f>
        <v>IPPA</v>
      </c>
      <c r="E214" s="227" t="s">
        <v>138</v>
      </c>
      <c r="F214" s="227" t="s">
        <v>138</v>
      </c>
      <c r="G214" s="227" t="s">
        <v>138</v>
      </c>
      <c r="H214" s="227" t="s">
        <v>138</v>
      </c>
      <c r="I214" s="227">
        <v>0</v>
      </c>
      <c r="J214" s="227" t="str">
        <f>INDEX('[5]TS BYDem'!$J$10:$J$203,MATCH(D214,'[5]TS BYDem'!$D$10:$D$203,0))</f>
        <v/>
      </c>
      <c r="K214" s="227" t="e">
        <f t="shared" ca="1" si="76"/>
        <v>#VALUE!</v>
      </c>
      <c r="L214" s="227" t="e">
        <f t="shared" ca="1" si="76"/>
        <v>#VALUE!</v>
      </c>
      <c r="M214" s="227" t="e">
        <f t="shared" ca="1" si="76"/>
        <v>#VALUE!</v>
      </c>
      <c r="N214" s="227" t="e">
        <f t="shared" ca="1" si="76"/>
        <v>#VALUE!</v>
      </c>
      <c r="O214" s="227" t="e">
        <f t="shared" ca="1" si="76"/>
        <v>#VALUE!</v>
      </c>
      <c r="P214" s="227" t="e">
        <f t="shared" ca="1" si="76"/>
        <v>#VALUE!</v>
      </c>
      <c r="Q214" s="227" t="e">
        <f t="shared" ca="1" si="76"/>
        <v>#VALUE!</v>
      </c>
      <c r="R214" s="227" t="e">
        <f t="shared" ca="1" si="76"/>
        <v>#VALUE!</v>
      </c>
      <c r="S214" s="227" t="e">
        <f t="shared" ca="1" si="76"/>
        <v>#VALUE!</v>
      </c>
      <c r="T214" s="227" t="e">
        <f t="shared" ca="1" si="76"/>
        <v>#VALUE!</v>
      </c>
      <c r="U214" s="227" t="e">
        <f t="shared" ca="1" si="76"/>
        <v>#VALUE!</v>
      </c>
      <c r="V214" s="227" t="e">
        <f t="shared" ca="1" si="76"/>
        <v>#VALUE!</v>
      </c>
      <c r="W214" s="227" t="e">
        <f t="shared" ca="1" si="76"/>
        <v>#VALUE!</v>
      </c>
      <c r="X214" s="227" t="e">
        <f t="shared" ca="1" si="76"/>
        <v>#VALUE!</v>
      </c>
      <c r="Y214" s="227" t="e">
        <f t="shared" ca="1" si="76"/>
        <v>#VALUE!</v>
      </c>
      <c r="Z214" s="227" t="e">
        <f t="shared" ca="1" si="76"/>
        <v>#VALUE!</v>
      </c>
      <c r="AA214" s="227" t="e">
        <f t="shared" ca="1" si="77"/>
        <v>#VALUE!</v>
      </c>
      <c r="AB214" s="227" t="e">
        <f t="shared" ca="1" si="77"/>
        <v>#VALUE!</v>
      </c>
      <c r="AC214" s="227" t="e">
        <f t="shared" ca="1" si="77"/>
        <v>#VALUE!</v>
      </c>
      <c r="AD214" s="227" t="e">
        <f t="shared" ca="1" si="77"/>
        <v>#VALUE!</v>
      </c>
      <c r="AE214" s="227" t="e">
        <f t="shared" ca="1" si="77"/>
        <v>#VALUE!</v>
      </c>
      <c r="AF214" s="227" t="e">
        <f t="shared" ca="1" si="77"/>
        <v>#VALUE!</v>
      </c>
      <c r="AG214" s="227" t="e">
        <f t="shared" ca="1" si="77"/>
        <v>#VALUE!</v>
      </c>
      <c r="AH214" s="227" t="e">
        <f t="shared" ca="1" si="77"/>
        <v>#VALUE!</v>
      </c>
      <c r="AI214" s="227" t="e">
        <f t="shared" ca="1" si="77"/>
        <v>#VALUE!</v>
      </c>
      <c r="AJ214" s="227" t="e">
        <f t="shared" ca="1" si="77"/>
        <v>#VALUE!</v>
      </c>
      <c r="AK214" s="227" t="e">
        <f t="shared" ca="1" si="77"/>
        <v>#VALUE!</v>
      </c>
      <c r="AL214" s="227" t="e">
        <f t="shared" ca="1" si="77"/>
        <v>#VALUE!</v>
      </c>
      <c r="AM214" s="227" t="e">
        <f t="shared" ca="1" si="77"/>
        <v>#VALUE!</v>
      </c>
      <c r="AN214" s="227" t="e">
        <f t="shared" ca="1" si="77"/>
        <v>#VALUE!</v>
      </c>
      <c r="AO214" s="227" t="e">
        <f t="shared" ca="1" si="77"/>
        <v>#VALUE!</v>
      </c>
      <c r="AP214" s="227" t="e">
        <f t="shared" ca="1" si="77"/>
        <v>#VALUE!</v>
      </c>
    </row>
    <row r="215" spans="1:42">
      <c r="A215" s="61" t="str">
        <f>'[5]TS BYDem'!A154</f>
        <v>*</v>
      </c>
      <c r="B215" s="227" t="s">
        <v>295</v>
      </c>
      <c r="C215" s="227" t="s">
        <v>138</v>
      </c>
      <c r="D215" s="227" t="str">
        <f>'[5]TS BYDem'!D154</f>
        <v>IPPL</v>
      </c>
      <c r="E215" s="227" t="s">
        <v>138</v>
      </c>
      <c r="F215" s="227" t="s">
        <v>138</v>
      </c>
      <c r="G215" s="227" t="s">
        <v>138</v>
      </c>
      <c r="H215" s="227" t="s">
        <v>138</v>
      </c>
      <c r="I215" s="227">
        <v>0</v>
      </c>
      <c r="J215" s="227" t="str">
        <f>INDEX('[5]TS BYDem'!$J$10:$J$203,MATCH(D215,'[5]TS BYDem'!$D$10:$D$203,0))</f>
        <v/>
      </c>
      <c r="K215" s="227" t="e">
        <f t="shared" ca="1" si="76"/>
        <v>#VALUE!</v>
      </c>
      <c r="L215" s="227" t="e">
        <f t="shared" ca="1" si="76"/>
        <v>#VALUE!</v>
      </c>
      <c r="M215" s="227" t="e">
        <f t="shared" ca="1" si="76"/>
        <v>#VALUE!</v>
      </c>
      <c r="N215" s="227" t="e">
        <f t="shared" ca="1" si="76"/>
        <v>#VALUE!</v>
      </c>
      <c r="O215" s="227" t="e">
        <f t="shared" ca="1" si="76"/>
        <v>#VALUE!</v>
      </c>
      <c r="P215" s="227" t="e">
        <f t="shared" ca="1" si="76"/>
        <v>#VALUE!</v>
      </c>
      <c r="Q215" s="227" t="e">
        <f t="shared" ca="1" si="76"/>
        <v>#VALUE!</v>
      </c>
      <c r="R215" s="227" t="e">
        <f t="shared" ca="1" si="76"/>
        <v>#VALUE!</v>
      </c>
      <c r="S215" s="227" t="e">
        <f t="shared" ca="1" si="76"/>
        <v>#VALUE!</v>
      </c>
      <c r="T215" s="227" t="e">
        <f t="shared" ca="1" si="76"/>
        <v>#VALUE!</v>
      </c>
      <c r="U215" s="227" t="e">
        <f t="shared" ca="1" si="76"/>
        <v>#VALUE!</v>
      </c>
      <c r="V215" s="227" t="e">
        <f t="shared" ca="1" si="76"/>
        <v>#VALUE!</v>
      </c>
      <c r="W215" s="227" t="e">
        <f t="shared" ca="1" si="76"/>
        <v>#VALUE!</v>
      </c>
      <c r="X215" s="227" t="e">
        <f t="shared" ca="1" si="76"/>
        <v>#VALUE!</v>
      </c>
      <c r="Y215" s="227" t="e">
        <f t="shared" ca="1" si="76"/>
        <v>#VALUE!</v>
      </c>
      <c r="Z215" s="227" t="e">
        <f t="shared" ca="1" si="76"/>
        <v>#VALUE!</v>
      </c>
      <c r="AA215" s="227" t="e">
        <f t="shared" ca="1" si="77"/>
        <v>#VALUE!</v>
      </c>
      <c r="AB215" s="227" t="e">
        <f t="shared" ca="1" si="77"/>
        <v>#VALUE!</v>
      </c>
      <c r="AC215" s="227" t="e">
        <f t="shared" ca="1" si="77"/>
        <v>#VALUE!</v>
      </c>
      <c r="AD215" s="227" t="e">
        <f t="shared" ca="1" si="77"/>
        <v>#VALUE!</v>
      </c>
      <c r="AE215" s="227" t="e">
        <f t="shared" ca="1" si="77"/>
        <v>#VALUE!</v>
      </c>
      <c r="AF215" s="227" t="e">
        <f t="shared" ca="1" si="77"/>
        <v>#VALUE!</v>
      </c>
      <c r="AG215" s="227" t="e">
        <f t="shared" ca="1" si="77"/>
        <v>#VALUE!</v>
      </c>
      <c r="AH215" s="227" t="e">
        <f t="shared" ca="1" si="77"/>
        <v>#VALUE!</v>
      </c>
      <c r="AI215" s="227" t="e">
        <f t="shared" ca="1" si="77"/>
        <v>#VALUE!</v>
      </c>
      <c r="AJ215" s="227" t="e">
        <f t="shared" ca="1" si="77"/>
        <v>#VALUE!</v>
      </c>
      <c r="AK215" s="227" t="e">
        <f t="shared" ca="1" si="77"/>
        <v>#VALUE!</v>
      </c>
      <c r="AL215" s="227" t="e">
        <f t="shared" ca="1" si="77"/>
        <v>#VALUE!</v>
      </c>
      <c r="AM215" s="227" t="e">
        <f t="shared" ca="1" si="77"/>
        <v>#VALUE!</v>
      </c>
      <c r="AN215" s="227" t="e">
        <f t="shared" ca="1" si="77"/>
        <v>#VALUE!</v>
      </c>
      <c r="AO215" s="227" t="e">
        <f t="shared" ca="1" si="77"/>
        <v>#VALUE!</v>
      </c>
      <c r="AP215" s="227" t="e">
        <f t="shared" ca="1" si="77"/>
        <v>#VALUE!</v>
      </c>
    </row>
    <row r="216" spans="1:42">
      <c r="A216" s="61" t="str">
        <f>'[5]TS BYDem'!A155</f>
        <v>*</v>
      </c>
      <c r="B216" s="227" t="s">
        <v>295</v>
      </c>
      <c r="C216" s="227" t="s">
        <v>138</v>
      </c>
      <c r="D216" s="227" t="str">
        <f>'[5]TS BYDem'!D155</f>
        <v>IPPC</v>
      </c>
      <c r="E216" s="227" t="s">
        <v>138</v>
      </c>
      <c r="F216" s="227" t="s">
        <v>138</v>
      </c>
      <c r="G216" s="227" t="s">
        <v>138</v>
      </c>
      <c r="H216" s="227" t="s">
        <v>138</v>
      </c>
      <c r="I216" s="227">
        <v>0</v>
      </c>
      <c r="J216" s="227" t="str">
        <f>INDEX('[5]TS BYDem'!$J$10:$J$203,MATCH(D216,'[5]TS BYDem'!$D$10:$D$203,0))</f>
        <v/>
      </c>
      <c r="K216" s="227" t="e">
        <f t="shared" ca="1" si="76"/>
        <v>#VALUE!</v>
      </c>
      <c r="L216" s="227" t="e">
        <f t="shared" ca="1" si="76"/>
        <v>#VALUE!</v>
      </c>
      <c r="M216" s="227" t="e">
        <f t="shared" ca="1" si="76"/>
        <v>#VALUE!</v>
      </c>
      <c r="N216" s="227" t="e">
        <f t="shared" ca="1" si="76"/>
        <v>#VALUE!</v>
      </c>
      <c r="O216" s="227" t="e">
        <f t="shared" ca="1" si="76"/>
        <v>#VALUE!</v>
      </c>
      <c r="P216" s="227" t="e">
        <f t="shared" ca="1" si="76"/>
        <v>#VALUE!</v>
      </c>
      <c r="Q216" s="227" t="e">
        <f t="shared" ca="1" si="76"/>
        <v>#VALUE!</v>
      </c>
      <c r="R216" s="227" t="e">
        <f t="shared" ca="1" si="76"/>
        <v>#VALUE!</v>
      </c>
      <c r="S216" s="227" t="e">
        <f t="shared" ca="1" si="76"/>
        <v>#VALUE!</v>
      </c>
      <c r="T216" s="227" t="e">
        <f t="shared" ca="1" si="76"/>
        <v>#VALUE!</v>
      </c>
      <c r="U216" s="227" t="e">
        <f t="shared" ca="1" si="76"/>
        <v>#VALUE!</v>
      </c>
      <c r="V216" s="227" t="e">
        <f t="shared" ca="1" si="76"/>
        <v>#VALUE!</v>
      </c>
      <c r="W216" s="227" t="e">
        <f t="shared" ca="1" si="76"/>
        <v>#VALUE!</v>
      </c>
      <c r="X216" s="227" t="e">
        <f t="shared" ca="1" si="76"/>
        <v>#VALUE!</v>
      </c>
      <c r="Y216" s="227" t="e">
        <f t="shared" ca="1" si="76"/>
        <v>#VALUE!</v>
      </c>
      <c r="Z216" s="227" t="e">
        <f t="shared" ca="1" si="76"/>
        <v>#VALUE!</v>
      </c>
      <c r="AA216" s="227" t="e">
        <f t="shared" ca="1" si="77"/>
        <v>#VALUE!</v>
      </c>
      <c r="AB216" s="227" t="e">
        <f t="shared" ca="1" si="77"/>
        <v>#VALUE!</v>
      </c>
      <c r="AC216" s="227" t="e">
        <f t="shared" ca="1" si="77"/>
        <v>#VALUE!</v>
      </c>
      <c r="AD216" s="227" t="e">
        <f t="shared" ca="1" si="77"/>
        <v>#VALUE!</v>
      </c>
      <c r="AE216" s="227" t="e">
        <f t="shared" ca="1" si="77"/>
        <v>#VALUE!</v>
      </c>
      <c r="AF216" s="227" t="e">
        <f t="shared" ca="1" si="77"/>
        <v>#VALUE!</v>
      </c>
      <c r="AG216" s="227" t="e">
        <f t="shared" ca="1" si="77"/>
        <v>#VALUE!</v>
      </c>
      <c r="AH216" s="227" t="e">
        <f t="shared" ca="1" si="77"/>
        <v>#VALUE!</v>
      </c>
      <c r="AI216" s="227" t="e">
        <f t="shared" ca="1" si="77"/>
        <v>#VALUE!</v>
      </c>
      <c r="AJ216" s="227" t="e">
        <f t="shared" ca="1" si="77"/>
        <v>#VALUE!</v>
      </c>
      <c r="AK216" s="227" t="e">
        <f t="shared" ca="1" si="77"/>
        <v>#VALUE!</v>
      </c>
      <c r="AL216" s="227" t="e">
        <f t="shared" ca="1" si="77"/>
        <v>#VALUE!</v>
      </c>
      <c r="AM216" s="227" t="e">
        <f t="shared" ca="1" si="77"/>
        <v>#VALUE!</v>
      </c>
      <c r="AN216" s="227" t="e">
        <f t="shared" ca="1" si="77"/>
        <v>#VALUE!</v>
      </c>
      <c r="AO216" s="227" t="e">
        <f t="shared" ca="1" si="77"/>
        <v>#VALUE!</v>
      </c>
      <c r="AP216" s="227" t="e">
        <f t="shared" ca="1" si="77"/>
        <v>#VALUE!</v>
      </c>
    </row>
    <row r="217" spans="1:42">
      <c r="A217" s="61" t="str">
        <f>'[5]TS BYDem'!A156</f>
        <v>*</v>
      </c>
      <c r="B217" s="227" t="s">
        <v>295</v>
      </c>
      <c r="C217" s="227" t="s">
        <v>138</v>
      </c>
      <c r="D217" s="227" t="str">
        <f>'[5]TS BYDem'!D156</f>
        <v>IPPH</v>
      </c>
      <c r="E217" s="227" t="s">
        <v>138</v>
      </c>
      <c r="F217" s="227" t="s">
        <v>138</v>
      </c>
      <c r="G217" s="227" t="s">
        <v>138</v>
      </c>
      <c r="H217" s="227" t="s">
        <v>138</v>
      </c>
      <c r="I217" s="227">
        <v>0</v>
      </c>
      <c r="J217" s="227" t="str">
        <f>INDEX('[5]TS BYDem'!$J$10:$J$203,MATCH(D217,'[5]TS BYDem'!$D$10:$D$203,0))</f>
        <v/>
      </c>
      <c r="K217" s="227" t="e">
        <f t="shared" ca="1" si="76"/>
        <v>#VALUE!</v>
      </c>
      <c r="L217" s="227" t="e">
        <f t="shared" ca="1" si="76"/>
        <v>#VALUE!</v>
      </c>
      <c r="M217" s="227" t="e">
        <f t="shared" ca="1" si="76"/>
        <v>#VALUE!</v>
      </c>
      <c r="N217" s="227" t="e">
        <f t="shared" ca="1" si="76"/>
        <v>#VALUE!</v>
      </c>
      <c r="O217" s="227" t="e">
        <f t="shared" ca="1" si="76"/>
        <v>#VALUE!</v>
      </c>
      <c r="P217" s="227" t="e">
        <f t="shared" ca="1" si="76"/>
        <v>#VALUE!</v>
      </c>
      <c r="Q217" s="227" t="e">
        <f t="shared" ca="1" si="76"/>
        <v>#VALUE!</v>
      </c>
      <c r="R217" s="227" t="e">
        <f t="shared" ca="1" si="76"/>
        <v>#VALUE!</v>
      </c>
      <c r="S217" s="227" t="e">
        <f t="shared" ca="1" si="76"/>
        <v>#VALUE!</v>
      </c>
      <c r="T217" s="227" t="e">
        <f t="shared" ca="1" si="76"/>
        <v>#VALUE!</v>
      </c>
      <c r="U217" s="227" t="e">
        <f t="shared" ca="1" si="76"/>
        <v>#VALUE!</v>
      </c>
      <c r="V217" s="227" t="e">
        <f t="shared" ca="1" si="76"/>
        <v>#VALUE!</v>
      </c>
      <c r="W217" s="227" t="e">
        <f t="shared" ca="1" si="76"/>
        <v>#VALUE!</v>
      </c>
      <c r="X217" s="227" t="e">
        <f t="shared" ca="1" si="76"/>
        <v>#VALUE!</v>
      </c>
      <c r="Y217" s="227" t="e">
        <f t="shared" ca="1" si="76"/>
        <v>#VALUE!</v>
      </c>
      <c r="Z217" s="227" t="e">
        <f t="shared" ca="1" si="76"/>
        <v>#VALUE!</v>
      </c>
      <c r="AA217" s="227" t="e">
        <f t="shared" ca="1" si="77"/>
        <v>#VALUE!</v>
      </c>
      <c r="AB217" s="227" t="e">
        <f t="shared" ca="1" si="77"/>
        <v>#VALUE!</v>
      </c>
      <c r="AC217" s="227" t="e">
        <f t="shared" ca="1" si="77"/>
        <v>#VALUE!</v>
      </c>
      <c r="AD217" s="227" t="e">
        <f t="shared" ca="1" si="77"/>
        <v>#VALUE!</v>
      </c>
      <c r="AE217" s="227" t="e">
        <f t="shared" ca="1" si="77"/>
        <v>#VALUE!</v>
      </c>
      <c r="AF217" s="227" t="e">
        <f t="shared" ca="1" si="77"/>
        <v>#VALUE!</v>
      </c>
      <c r="AG217" s="227" t="e">
        <f t="shared" ca="1" si="77"/>
        <v>#VALUE!</v>
      </c>
      <c r="AH217" s="227" t="e">
        <f t="shared" ca="1" si="77"/>
        <v>#VALUE!</v>
      </c>
      <c r="AI217" s="227" t="e">
        <f t="shared" ca="1" si="77"/>
        <v>#VALUE!</v>
      </c>
      <c r="AJ217" s="227" t="e">
        <f t="shared" ca="1" si="77"/>
        <v>#VALUE!</v>
      </c>
      <c r="AK217" s="227" t="e">
        <f t="shared" ca="1" si="77"/>
        <v>#VALUE!</v>
      </c>
      <c r="AL217" s="227" t="e">
        <f t="shared" ca="1" si="77"/>
        <v>#VALUE!</v>
      </c>
      <c r="AM217" s="227" t="e">
        <f t="shared" ca="1" si="77"/>
        <v>#VALUE!</v>
      </c>
      <c r="AN217" s="227" t="e">
        <f t="shared" ca="1" si="77"/>
        <v>#VALUE!</v>
      </c>
      <c r="AO217" s="227" t="e">
        <f t="shared" ca="1" si="77"/>
        <v>#VALUE!</v>
      </c>
      <c r="AP217" s="227" t="e">
        <f t="shared" ca="1" si="77"/>
        <v>#VALUE!</v>
      </c>
    </row>
    <row r="218" spans="1:42">
      <c r="A218" s="61" t="str">
        <f>'[5]TS BYDem'!A157</f>
        <v>*</v>
      </c>
      <c r="B218" s="227" t="s">
        <v>295</v>
      </c>
      <c r="C218" s="227" t="s">
        <v>138</v>
      </c>
      <c r="D218" s="227" t="str">
        <f>'[5]TS BYDem'!D157</f>
        <v>IPPP</v>
      </c>
      <c r="E218" s="227" t="s">
        <v>138</v>
      </c>
      <c r="F218" s="227" t="s">
        <v>138</v>
      </c>
      <c r="G218" s="227" t="s">
        <v>138</v>
      </c>
      <c r="H218" s="227" t="s">
        <v>138</v>
      </c>
      <c r="I218" s="227">
        <v>0</v>
      </c>
      <c r="J218" s="227" t="str">
        <f>INDEX('[5]TS BYDem'!$J$10:$J$203,MATCH(D218,'[5]TS BYDem'!$D$10:$D$203,0))</f>
        <v/>
      </c>
      <c r="K218" s="227" t="e">
        <f t="shared" ca="1" si="76"/>
        <v>#VALUE!</v>
      </c>
      <c r="L218" s="227" t="e">
        <f t="shared" ca="1" si="76"/>
        <v>#VALUE!</v>
      </c>
      <c r="M218" s="227" t="e">
        <f t="shared" ca="1" si="76"/>
        <v>#VALUE!</v>
      </c>
      <c r="N218" s="227" t="e">
        <f t="shared" ca="1" si="76"/>
        <v>#VALUE!</v>
      </c>
      <c r="O218" s="227" t="e">
        <f t="shared" ca="1" si="76"/>
        <v>#VALUE!</v>
      </c>
      <c r="P218" s="227" t="e">
        <f t="shared" ca="1" si="76"/>
        <v>#VALUE!</v>
      </c>
      <c r="Q218" s="227" t="e">
        <f t="shared" ca="1" si="76"/>
        <v>#VALUE!</v>
      </c>
      <c r="R218" s="227" t="e">
        <f t="shared" ca="1" si="76"/>
        <v>#VALUE!</v>
      </c>
      <c r="S218" s="227" t="e">
        <f t="shared" ca="1" si="76"/>
        <v>#VALUE!</v>
      </c>
      <c r="T218" s="227" t="e">
        <f t="shared" ca="1" si="76"/>
        <v>#VALUE!</v>
      </c>
      <c r="U218" s="227" t="e">
        <f t="shared" ca="1" si="76"/>
        <v>#VALUE!</v>
      </c>
      <c r="V218" s="227" t="e">
        <f t="shared" ca="1" si="76"/>
        <v>#VALUE!</v>
      </c>
      <c r="W218" s="227" t="e">
        <f t="shared" ca="1" si="76"/>
        <v>#VALUE!</v>
      </c>
      <c r="X218" s="227" t="e">
        <f t="shared" ca="1" si="76"/>
        <v>#VALUE!</v>
      </c>
      <c r="Y218" s="227" t="e">
        <f t="shared" ca="1" si="76"/>
        <v>#VALUE!</v>
      </c>
      <c r="Z218" s="227" t="e">
        <f t="shared" ca="1" si="76"/>
        <v>#VALUE!</v>
      </c>
      <c r="AA218" s="227" t="e">
        <f t="shared" ca="1" si="77"/>
        <v>#VALUE!</v>
      </c>
      <c r="AB218" s="227" t="e">
        <f t="shared" ca="1" si="77"/>
        <v>#VALUE!</v>
      </c>
      <c r="AC218" s="227" t="e">
        <f t="shared" ca="1" si="77"/>
        <v>#VALUE!</v>
      </c>
      <c r="AD218" s="227" t="e">
        <f t="shared" ca="1" si="77"/>
        <v>#VALUE!</v>
      </c>
      <c r="AE218" s="227" t="e">
        <f t="shared" ca="1" si="77"/>
        <v>#VALUE!</v>
      </c>
      <c r="AF218" s="227" t="e">
        <f t="shared" ca="1" si="77"/>
        <v>#VALUE!</v>
      </c>
      <c r="AG218" s="227" t="e">
        <f t="shared" ca="1" si="77"/>
        <v>#VALUE!</v>
      </c>
      <c r="AH218" s="227" t="e">
        <f t="shared" ca="1" si="77"/>
        <v>#VALUE!</v>
      </c>
      <c r="AI218" s="227" t="e">
        <f t="shared" ca="1" si="77"/>
        <v>#VALUE!</v>
      </c>
      <c r="AJ218" s="227" t="e">
        <f t="shared" ca="1" si="77"/>
        <v>#VALUE!</v>
      </c>
      <c r="AK218" s="227" t="e">
        <f t="shared" ca="1" si="77"/>
        <v>#VALUE!</v>
      </c>
      <c r="AL218" s="227" t="e">
        <f t="shared" ca="1" si="77"/>
        <v>#VALUE!</v>
      </c>
      <c r="AM218" s="227" t="e">
        <f t="shared" ca="1" si="77"/>
        <v>#VALUE!</v>
      </c>
      <c r="AN218" s="227" t="e">
        <f t="shared" ca="1" si="77"/>
        <v>#VALUE!</v>
      </c>
      <c r="AO218" s="227" t="e">
        <f t="shared" ca="1" si="77"/>
        <v>#VALUE!</v>
      </c>
      <c r="AP218" s="227" t="e">
        <f t="shared" ca="1" si="77"/>
        <v>#VALUE!</v>
      </c>
    </row>
    <row r="219" spans="1:42">
      <c r="A219" s="61" t="str">
        <f>'[5]TS BYDem'!A158</f>
        <v>*</v>
      </c>
      <c r="B219" s="227" t="s">
        <v>295</v>
      </c>
      <c r="C219" s="227" t="s">
        <v>138</v>
      </c>
      <c r="D219" s="227" t="str">
        <f>'[5]TS BYDem'!D158</f>
        <v>IPPF</v>
      </c>
      <c r="E219" s="227" t="s">
        <v>138</v>
      </c>
      <c r="F219" s="227" t="s">
        <v>138</v>
      </c>
      <c r="G219" s="227" t="s">
        <v>138</v>
      </c>
      <c r="H219" s="227" t="s">
        <v>138</v>
      </c>
      <c r="I219" s="227">
        <v>0</v>
      </c>
      <c r="J219" s="227" t="str">
        <f>INDEX('[5]TS BYDem'!$J$10:$J$203,MATCH(D219,'[5]TS BYDem'!$D$10:$D$203,0))</f>
        <v/>
      </c>
      <c r="K219" s="227" t="e">
        <f t="shared" ca="1" si="76"/>
        <v>#VALUE!</v>
      </c>
      <c r="L219" s="227" t="e">
        <f t="shared" ca="1" si="76"/>
        <v>#VALUE!</v>
      </c>
      <c r="M219" s="227" t="e">
        <f t="shared" ca="1" si="76"/>
        <v>#VALUE!</v>
      </c>
      <c r="N219" s="227" t="e">
        <f t="shared" ca="1" si="76"/>
        <v>#VALUE!</v>
      </c>
      <c r="O219" s="227" t="e">
        <f t="shared" ca="1" si="76"/>
        <v>#VALUE!</v>
      </c>
      <c r="P219" s="227" t="e">
        <f t="shared" ca="1" si="76"/>
        <v>#VALUE!</v>
      </c>
      <c r="Q219" s="227" t="e">
        <f t="shared" ca="1" si="76"/>
        <v>#VALUE!</v>
      </c>
      <c r="R219" s="227" t="e">
        <f t="shared" ca="1" si="76"/>
        <v>#VALUE!</v>
      </c>
      <c r="S219" s="227" t="e">
        <f t="shared" ca="1" si="76"/>
        <v>#VALUE!</v>
      </c>
      <c r="T219" s="227" t="e">
        <f t="shared" ca="1" si="76"/>
        <v>#VALUE!</v>
      </c>
      <c r="U219" s="227" t="e">
        <f t="shared" ca="1" si="76"/>
        <v>#VALUE!</v>
      </c>
      <c r="V219" s="227" t="e">
        <f t="shared" ca="1" si="76"/>
        <v>#VALUE!</v>
      </c>
      <c r="W219" s="227" t="e">
        <f t="shared" ca="1" si="76"/>
        <v>#VALUE!</v>
      </c>
      <c r="X219" s="227" t="e">
        <f t="shared" ca="1" si="76"/>
        <v>#VALUE!</v>
      </c>
      <c r="Y219" s="227" t="e">
        <f t="shared" ca="1" si="76"/>
        <v>#VALUE!</v>
      </c>
      <c r="Z219" s="227" t="e">
        <f t="shared" ca="1" si="76"/>
        <v>#VALUE!</v>
      </c>
      <c r="AA219" s="227" t="e">
        <f t="shared" ca="1" si="77"/>
        <v>#VALUE!</v>
      </c>
      <c r="AB219" s="227" t="e">
        <f t="shared" ca="1" si="77"/>
        <v>#VALUE!</v>
      </c>
      <c r="AC219" s="227" t="e">
        <f t="shared" ca="1" si="77"/>
        <v>#VALUE!</v>
      </c>
      <c r="AD219" s="227" t="e">
        <f t="shared" ca="1" si="77"/>
        <v>#VALUE!</v>
      </c>
      <c r="AE219" s="227" t="e">
        <f t="shared" ca="1" si="77"/>
        <v>#VALUE!</v>
      </c>
      <c r="AF219" s="227" t="e">
        <f t="shared" ca="1" si="77"/>
        <v>#VALUE!</v>
      </c>
      <c r="AG219" s="227" t="e">
        <f t="shared" ca="1" si="77"/>
        <v>#VALUE!</v>
      </c>
      <c r="AH219" s="227" t="e">
        <f t="shared" ca="1" si="77"/>
        <v>#VALUE!</v>
      </c>
      <c r="AI219" s="227" t="e">
        <f t="shared" ca="1" si="77"/>
        <v>#VALUE!</v>
      </c>
      <c r="AJ219" s="227" t="e">
        <f t="shared" ca="1" si="77"/>
        <v>#VALUE!</v>
      </c>
      <c r="AK219" s="227" t="e">
        <f t="shared" ca="1" si="77"/>
        <v>#VALUE!</v>
      </c>
      <c r="AL219" s="227" t="e">
        <f t="shared" ca="1" si="77"/>
        <v>#VALUE!</v>
      </c>
      <c r="AM219" s="227" t="e">
        <f t="shared" ca="1" si="77"/>
        <v>#VALUE!</v>
      </c>
      <c r="AN219" s="227" t="e">
        <f t="shared" ca="1" si="77"/>
        <v>#VALUE!</v>
      </c>
      <c r="AO219" s="227" t="e">
        <f t="shared" ca="1" si="77"/>
        <v>#VALUE!</v>
      </c>
      <c r="AP219" s="227" t="e">
        <f t="shared" ca="1" si="77"/>
        <v>#VALUE!</v>
      </c>
    </row>
    <row r="220" spans="1:42">
      <c r="A220" s="61" t="str">
        <f>'[5]TS BYDem'!A159</f>
        <v>*</v>
      </c>
      <c r="B220" s="227" t="s">
        <v>295</v>
      </c>
      <c r="C220" s="227" t="s">
        <v>138</v>
      </c>
      <c r="D220" s="227" t="str">
        <f>'[5]TS BYDem'!D159</f>
        <v>IPPO</v>
      </c>
      <c r="E220" s="227" t="s">
        <v>138</v>
      </c>
      <c r="F220" s="227" t="s">
        <v>138</v>
      </c>
      <c r="G220" s="227" t="s">
        <v>138</v>
      </c>
      <c r="H220" s="227" t="s">
        <v>138</v>
      </c>
      <c r="I220" s="227">
        <v>0</v>
      </c>
      <c r="J220" s="227" t="str">
        <f>INDEX('[5]TS BYDem'!$J$10:$J$203,MATCH(D220,'[5]TS BYDem'!$D$10:$D$203,0))</f>
        <v/>
      </c>
      <c r="K220" s="227" t="e">
        <f t="shared" ca="1" si="76"/>
        <v>#VALUE!</v>
      </c>
      <c r="L220" s="227" t="e">
        <f t="shared" ca="1" si="76"/>
        <v>#VALUE!</v>
      </c>
      <c r="M220" s="227" t="e">
        <f t="shared" ca="1" si="76"/>
        <v>#VALUE!</v>
      </c>
      <c r="N220" s="227" t="e">
        <f t="shared" ca="1" si="76"/>
        <v>#VALUE!</v>
      </c>
      <c r="O220" s="227" t="e">
        <f t="shared" ca="1" si="76"/>
        <v>#VALUE!</v>
      </c>
      <c r="P220" s="227" t="e">
        <f t="shared" ca="1" si="76"/>
        <v>#VALUE!</v>
      </c>
      <c r="Q220" s="227" t="e">
        <f t="shared" ca="1" si="76"/>
        <v>#VALUE!</v>
      </c>
      <c r="R220" s="227" t="e">
        <f t="shared" ca="1" si="76"/>
        <v>#VALUE!</v>
      </c>
      <c r="S220" s="227" t="e">
        <f t="shared" ca="1" si="76"/>
        <v>#VALUE!</v>
      </c>
      <c r="T220" s="227" t="e">
        <f t="shared" ca="1" si="76"/>
        <v>#VALUE!</v>
      </c>
      <c r="U220" s="227" t="e">
        <f t="shared" ca="1" si="76"/>
        <v>#VALUE!</v>
      </c>
      <c r="V220" s="227" t="e">
        <f t="shared" ca="1" si="76"/>
        <v>#VALUE!</v>
      </c>
      <c r="W220" s="227" t="e">
        <f t="shared" ca="1" si="76"/>
        <v>#VALUE!</v>
      </c>
      <c r="X220" s="227" t="e">
        <f t="shared" ca="1" si="76"/>
        <v>#VALUE!</v>
      </c>
      <c r="Y220" s="227" t="e">
        <f t="shared" ca="1" si="76"/>
        <v>#VALUE!</v>
      </c>
      <c r="Z220" s="227" t="e">
        <f t="shared" ca="1" si="76"/>
        <v>#VALUE!</v>
      </c>
      <c r="AA220" s="227" t="e">
        <f t="shared" ca="1" si="77"/>
        <v>#VALUE!</v>
      </c>
      <c r="AB220" s="227" t="e">
        <f t="shared" ca="1" si="77"/>
        <v>#VALUE!</v>
      </c>
      <c r="AC220" s="227" t="e">
        <f t="shared" ca="1" si="77"/>
        <v>#VALUE!</v>
      </c>
      <c r="AD220" s="227" t="e">
        <f t="shared" ca="1" si="77"/>
        <v>#VALUE!</v>
      </c>
      <c r="AE220" s="227" t="e">
        <f t="shared" ca="1" si="77"/>
        <v>#VALUE!</v>
      </c>
      <c r="AF220" s="227" t="e">
        <f t="shared" ca="1" si="77"/>
        <v>#VALUE!</v>
      </c>
      <c r="AG220" s="227" t="e">
        <f t="shared" ca="1" si="77"/>
        <v>#VALUE!</v>
      </c>
      <c r="AH220" s="227" t="e">
        <f t="shared" ca="1" si="77"/>
        <v>#VALUE!</v>
      </c>
      <c r="AI220" s="227" t="e">
        <f t="shared" ca="1" si="77"/>
        <v>#VALUE!</v>
      </c>
      <c r="AJ220" s="227" t="e">
        <f t="shared" ca="1" si="77"/>
        <v>#VALUE!</v>
      </c>
      <c r="AK220" s="227" t="e">
        <f t="shared" ca="1" si="77"/>
        <v>#VALUE!</v>
      </c>
      <c r="AL220" s="227" t="e">
        <f t="shared" ca="1" si="77"/>
        <v>#VALUE!</v>
      </c>
      <c r="AM220" s="227" t="e">
        <f t="shared" ca="1" si="77"/>
        <v>#VALUE!</v>
      </c>
      <c r="AN220" s="227" t="e">
        <f t="shared" ca="1" si="77"/>
        <v>#VALUE!</v>
      </c>
      <c r="AO220" s="227" t="e">
        <f t="shared" ca="1" si="77"/>
        <v>#VALUE!</v>
      </c>
      <c r="AP220" s="227" t="e">
        <f t="shared" ca="1" si="77"/>
        <v>#VALUE!</v>
      </c>
    </row>
    <row r="221" spans="1:42">
      <c r="A221" s="61" t="str">
        <f>'[5]TS BYDem'!A160</f>
        <v>*</v>
      </c>
      <c r="B221" s="227" t="s">
        <v>295</v>
      </c>
      <c r="C221" s="227" t="s">
        <v>138</v>
      </c>
      <c r="D221" s="227" t="str">
        <f>'[5]TS BYDem'!D160</f>
        <v>IPPE</v>
      </c>
      <c r="E221" s="227" t="s">
        <v>138</v>
      </c>
      <c r="F221" s="227" t="s">
        <v>138</v>
      </c>
      <c r="G221" s="227" t="s">
        <v>138</v>
      </c>
      <c r="H221" s="227" t="s">
        <v>138</v>
      </c>
      <c r="I221" s="227">
        <v>0</v>
      </c>
      <c r="J221" s="227" t="str">
        <f>INDEX('[5]TS BYDem'!$J$10:$J$203,MATCH(D221,'[5]TS BYDem'!$D$10:$D$203,0))</f>
        <v/>
      </c>
      <c r="K221" s="227" t="e">
        <f t="shared" ca="1" si="76"/>
        <v>#VALUE!</v>
      </c>
      <c r="L221" s="227" t="e">
        <f t="shared" ca="1" si="76"/>
        <v>#VALUE!</v>
      </c>
      <c r="M221" s="227" t="e">
        <f t="shared" ca="1" si="76"/>
        <v>#VALUE!</v>
      </c>
      <c r="N221" s="227" t="e">
        <f t="shared" ca="1" si="76"/>
        <v>#VALUE!</v>
      </c>
      <c r="O221" s="227" t="e">
        <f t="shared" ca="1" si="76"/>
        <v>#VALUE!</v>
      </c>
      <c r="P221" s="227" t="e">
        <f t="shared" ca="1" si="76"/>
        <v>#VALUE!</v>
      </c>
      <c r="Q221" s="227" t="e">
        <f t="shared" ca="1" si="76"/>
        <v>#VALUE!</v>
      </c>
      <c r="R221" s="227" t="e">
        <f t="shared" ca="1" si="76"/>
        <v>#VALUE!</v>
      </c>
      <c r="S221" s="227" t="e">
        <f t="shared" ca="1" si="76"/>
        <v>#VALUE!</v>
      </c>
      <c r="T221" s="227" t="e">
        <f t="shared" ca="1" si="76"/>
        <v>#VALUE!</v>
      </c>
      <c r="U221" s="227" t="e">
        <f t="shared" ca="1" si="76"/>
        <v>#VALUE!</v>
      </c>
      <c r="V221" s="227" t="e">
        <f t="shared" ca="1" si="76"/>
        <v>#VALUE!</v>
      </c>
      <c r="W221" s="227" t="e">
        <f t="shared" ca="1" si="76"/>
        <v>#VALUE!</v>
      </c>
      <c r="X221" s="227" t="e">
        <f t="shared" ca="1" si="76"/>
        <v>#VALUE!</v>
      </c>
      <c r="Y221" s="227" t="e">
        <f t="shared" ca="1" si="76"/>
        <v>#VALUE!</v>
      </c>
      <c r="Z221" s="227" t="e">
        <f t="shared" ca="1" si="76"/>
        <v>#VALUE!</v>
      </c>
      <c r="AA221" s="227" t="e">
        <f t="shared" ca="1" si="77"/>
        <v>#VALUE!</v>
      </c>
      <c r="AB221" s="227" t="e">
        <f t="shared" ca="1" si="77"/>
        <v>#VALUE!</v>
      </c>
      <c r="AC221" s="227" t="e">
        <f t="shared" ca="1" si="77"/>
        <v>#VALUE!</v>
      </c>
      <c r="AD221" s="227" t="e">
        <f t="shared" ca="1" si="77"/>
        <v>#VALUE!</v>
      </c>
      <c r="AE221" s="227" t="e">
        <f t="shared" ca="1" si="77"/>
        <v>#VALUE!</v>
      </c>
      <c r="AF221" s="227" t="e">
        <f t="shared" ca="1" si="77"/>
        <v>#VALUE!</v>
      </c>
      <c r="AG221" s="227" t="e">
        <f t="shared" ca="1" si="77"/>
        <v>#VALUE!</v>
      </c>
      <c r="AH221" s="227" t="e">
        <f t="shared" ca="1" si="77"/>
        <v>#VALUE!</v>
      </c>
      <c r="AI221" s="227" t="e">
        <f t="shared" ca="1" si="77"/>
        <v>#VALUE!</v>
      </c>
      <c r="AJ221" s="227" t="e">
        <f t="shared" ca="1" si="77"/>
        <v>#VALUE!</v>
      </c>
      <c r="AK221" s="227" t="e">
        <f t="shared" ca="1" si="77"/>
        <v>#VALUE!</v>
      </c>
      <c r="AL221" s="227" t="e">
        <f t="shared" ca="1" si="77"/>
        <v>#VALUE!</v>
      </c>
      <c r="AM221" s="227" t="e">
        <f t="shared" ca="1" si="77"/>
        <v>#VALUE!</v>
      </c>
      <c r="AN221" s="227" t="e">
        <f t="shared" ca="1" si="77"/>
        <v>#VALUE!</v>
      </c>
      <c r="AO221" s="227" t="e">
        <f t="shared" ca="1" si="77"/>
        <v>#VALUE!</v>
      </c>
      <c r="AP221" s="227" t="e">
        <f t="shared" ca="1" si="77"/>
        <v>#VALUE!</v>
      </c>
    </row>
    <row r="222" spans="1:42">
      <c r="A222" s="61" t="str">
        <f>'[5]TS BYDem'!A161</f>
        <v>*</v>
      </c>
      <c r="B222" s="227" t="s">
        <v>295</v>
      </c>
      <c r="C222" s="227" t="s">
        <v>138</v>
      </c>
      <c r="D222" s="227" t="str">
        <f>'[5]TS BYDem'!D161</f>
        <v xml:space="preserve"> </v>
      </c>
      <c r="E222" s="227" t="s">
        <v>138</v>
      </c>
      <c r="F222" s="227" t="s">
        <v>138</v>
      </c>
      <c r="G222" s="227" t="s">
        <v>138</v>
      </c>
      <c r="H222" s="227" t="s">
        <v>138</v>
      </c>
      <c r="I222" s="227">
        <v>0</v>
      </c>
      <c r="J222" s="227" t="str">
        <f>INDEX('[5]TS BYDem'!$J$10:$J$203,MATCH(D222,'[5]TS BYDem'!$D$10:$D$203,0))</f>
        <v/>
      </c>
      <c r="K222" s="227" t="e">
        <f t="shared" ca="1" si="76"/>
        <v>#VALUE!</v>
      </c>
      <c r="L222" s="227" t="e">
        <f t="shared" ca="1" si="76"/>
        <v>#VALUE!</v>
      </c>
      <c r="M222" s="227" t="e">
        <f t="shared" ca="1" si="76"/>
        <v>#VALUE!</v>
      </c>
      <c r="N222" s="227" t="e">
        <f t="shared" ca="1" si="76"/>
        <v>#VALUE!</v>
      </c>
      <c r="O222" s="227" t="e">
        <f t="shared" ca="1" si="76"/>
        <v>#VALUE!</v>
      </c>
      <c r="P222" s="227" t="e">
        <f t="shared" ca="1" si="76"/>
        <v>#VALUE!</v>
      </c>
      <c r="Q222" s="227" t="e">
        <f t="shared" ca="1" si="76"/>
        <v>#VALUE!</v>
      </c>
      <c r="R222" s="227" t="e">
        <f t="shared" ca="1" si="76"/>
        <v>#VALUE!</v>
      </c>
      <c r="S222" s="227" t="e">
        <f t="shared" ca="1" si="76"/>
        <v>#VALUE!</v>
      </c>
      <c r="T222" s="227" t="e">
        <f t="shared" ca="1" si="76"/>
        <v>#VALUE!</v>
      </c>
      <c r="U222" s="227" t="e">
        <f t="shared" ca="1" si="76"/>
        <v>#VALUE!</v>
      </c>
      <c r="V222" s="227" t="e">
        <f t="shared" ca="1" si="76"/>
        <v>#VALUE!</v>
      </c>
      <c r="W222" s="227" t="e">
        <f t="shared" ca="1" si="76"/>
        <v>#VALUE!</v>
      </c>
      <c r="X222" s="227" t="e">
        <f t="shared" ca="1" si="76"/>
        <v>#VALUE!</v>
      </c>
      <c r="Y222" s="227" t="e">
        <f t="shared" ca="1" si="76"/>
        <v>#VALUE!</v>
      </c>
      <c r="Z222" s="227" t="e">
        <f t="shared" ca="1" si="76"/>
        <v>#VALUE!</v>
      </c>
      <c r="AA222" s="227" t="e">
        <f t="shared" ca="1" si="77"/>
        <v>#VALUE!</v>
      </c>
      <c r="AB222" s="227" t="e">
        <f t="shared" ca="1" si="77"/>
        <v>#VALUE!</v>
      </c>
      <c r="AC222" s="227" t="e">
        <f t="shared" ca="1" si="77"/>
        <v>#VALUE!</v>
      </c>
      <c r="AD222" s="227" t="e">
        <f t="shared" ca="1" si="77"/>
        <v>#VALUE!</v>
      </c>
      <c r="AE222" s="227" t="e">
        <f t="shared" ca="1" si="77"/>
        <v>#VALUE!</v>
      </c>
      <c r="AF222" s="227" t="e">
        <f t="shared" ca="1" si="77"/>
        <v>#VALUE!</v>
      </c>
      <c r="AG222" s="227" t="e">
        <f t="shared" ca="1" si="77"/>
        <v>#VALUE!</v>
      </c>
      <c r="AH222" s="227" t="e">
        <f t="shared" ca="1" si="77"/>
        <v>#VALUE!</v>
      </c>
      <c r="AI222" s="227" t="e">
        <f t="shared" ca="1" si="77"/>
        <v>#VALUE!</v>
      </c>
      <c r="AJ222" s="227" t="e">
        <f t="shared" ca="1" si="77"/>
        <v>#VALUE!</v>
      </c>
      <c r="AK222" s="227" t="e">
        <f t="shared" ca="1" si="77"/>
        <v>#VALUE!</v>
      </c>
      <c r="AL222" s="227" t="e">
        <f t="shared" ca="1" si="77"/>
        <v>#VALUE!</v>
      </c>
      <c r="AM222" s="227" t="e">
        <f t="shared" ca="1" si="77"/>
        <v>#VALUE!</v>
      </c>
      <c r="AN222" s="227" t="e">
        <f t="shared" ca="1" si="77"/>
        <v>#VALUE!</v>
      </c>
      <c r="AO222" s="227" t="e">
        <f t="shared" ca="1" si="77"/>
        <v>#VALUE!</v>
      </c>
      <c r="AP222" s="227" t="e">
        <f t="shared" ca="1" si="77"/>
        <v>#VALUE!</v>
      </c>
    </row>
    <row r="223" spans="1:42">
      <c r="A223" s="61" t="str">
        <f>'[5]TS BYDem'!A162</f>
        <v>*</v>
      </c>
      <c r="B223" s="227" t="s">
        <v>295</v>
      </c>
      <c r="C223" s="227" t="s">
        <v>138</v>
      </c>
      <c r="D223" s="227" t="str">
        <f>'[5]TS BYDem'!D162</f>
        <v>IPPS</v>
      </c>
      <c r="E223" s="227" t="s">
        <v>138</v>
      </c>
      <c r="F223" s="227" t="s">
        <v>138</v>
      </c>
      <c r="G223" s="227" t="s">
        <v>138</v>
      </c>
      <c r="H223" s="227" t="s">
        <v>138</v>
      </c>
      <c r="I223" s="227">
        <v>0</v>
      </c>
      <c r="J223" s="227" t="str">
        <f>INDEX('[5]TS BYDem'!$J$10:$J$203,MATCH(D223,'[5]TS BYDem'!$D$10:$D$203,0))</f>
        <v/>
      </c>
      <c r="K223" s="227" t="e">
        <f t="shared" ca="1" si="76"/>
        <v>#VALUE!</v>
      </c>
      <c r="L223" s="227" t="e">
        <f t="shared" ca="1" si="76"/>
        <v>#VALUE!</v>
      </c>
      <c r="M223" s="227" t="e">
        <f t="shared" ca="1" si="76"/>
        <v>#VALUE!</v>
      </c>
      <c r="N223" s="227" t="e">
        <f t="shared" ca="1" si="76"/>
        <v>#VALUE!</v>
      </c>
      <c r="O223" s="227" t="e">
        <f t="shared" ca="1" si="76"/>
        <v>#VALUE!</v>
      </c>
      <c r="P223" s="227" t="e">
        <f t="shared" ca="1" si="76"/>
        <v>#VALUE!</v>
      </c>
      <c r="Q223" s="227" t="e">
        <f t="shared" ca="1" si="76"/>
        <v>#VALUE!</v>
      </c>
      <c r="R223" s="227" t="e">
        <f t="shared" ca="1" si="76"/>
        <v>#VALUE!</v>
      </c>
      <c r="S223" s="227" t="e">
        <f t="shared" ca="1" si="76"/>
        <v>#VALUE!</v>
      </c>
      <c r="T223" s="227" t="e">
        <f t="shared" ca="1" si="76"/>
        <v>#VALUE!</v>
      </c>
      <c r="U223" s="227" t="e">
        <f t="shared" ca="1" si="76"/>
        <v>#VALUE!</v>
      </c>
      <c r="V223" s="227" t="e">
        <f t="shared" ca="1" si="76"/>
        <v>#VALUE!</v>
      </c>
      <c r="W223" s="227" t="e">
        <f t="shared" ca="1" si="76"/>
        <v>#VALUE!</v>
      </c>
      <c r="X223" s="227" t="e">
        <f t="shared" ca="1" si="76"/>
        <v>#VALUE!</v>
      </c>
      <c r="Y223" s="227" t="e">
        <f t="shared" ca="1" si="76"/>
        <v>#VALUE!</v>
      </c>
      <c r="Z223" s="227" t="e">
        <f t="shared" ca="1" si="76"/>
        <v>#VALUE!</v>
      </c>
      <c r="AA223" s="227" t="e">
        <f t="shared" ca="1" si="77"/>
        <v>#VALUE!</v>
      </c>
      <c r="AB223" s="227" t="e">
        <f t="shared" ca="1" si="77"/>
        <v>#VALUE!</v>
      </c>
      <c r="AC223" s="227" t="e">
        <f t="shared" ca="1" si="77"/>
        <v>#VALUE!</v>
      </c>
      <c r="AD223" s="227" t="e">
        <f t="shared" ca="1" si="77"/>
        <v>#VALUE!</v>
      </c>
      <c r="AE223" s="227" t="e">
        <f t="shared" ca="1" si="77"/>
        <v>#VALUE!</v>
      </c>
      <c r="AF223" s="227" t="e">
        <f t="shared" ca="1" si="77"/>
        <v>#VALUE!</v>
      </c>
      <c r="AG223" s="227" t="e">
        <f t="shared" ca="1" si="77"/>
        <v>#VALUE!</v>
      </c>
      <c r="AH223" s="227" t="e">
        <f t="shared" ca="1" si="77"/>
        <v>#VALUE!</v>
      </c>
      <c r="AI223" s="227" t="e">
        <f t="shared" ca="1" si="77"/>
        <v>#VALUE!</v>
      </c>
      <c r="AJ223" s="227" t="e">
        <f t="shared" ca="1" si="77"/>
        <v>#VALUE!</v>
      </c>
      <c r="AK223" s="227" t="e">
        <f t="shared" ca="1" si="77"/>
        <v>#VALUE!</v>
      </c>
      <c r="AL223" s="227" t="e">
        <f t="shared" ca="1" si="77"/>
        <v>#VALUE!</v>
      </c>
      <c r="AM223" s="227" t="e">
        <f t="shared" ca="1" si="77"/>
        <v>#VALUE!</v>
      </c>
      <c r="AN223" s="227" t="e">
        <f t="shared" ca="1" si="77"/>
        <v>#VALUE!</v>
      </c>
      <c r="AO223" s="227" t="e">
        <f t="shared" ca="1" si="77"/>
        <v>#VALUE!</v>
      </c>
      <c r="AP223" s="227" t="e">
        <f t="shared" ca="1" si="77"/>
        <v>#VALUE!</v>
      </c>
    </row>
    <row r="224" spans="1:42">
      <c r="A224" s="61" t="str">
        <f>'[5]TS BYDem'!A163</f>
        <v>*</v>
      </c>
      <c r="B224" s="227" t="s">
        <v>295</v>
      </c>
      <c r="C224" s="227" t="s">
        <v>138</v>
      </c>
      <c r="D224" s="227" t="str">
        <f>'[5]TS BYDem'!D163</f>
        <v>IPPS</v>
      </c>
      <c r="E224" s="227" t="s">
        <v>138</v>
      </c>
      <c r="F224" s="227" t="s">
        <v>138</v>
      </c>
      <c r="G224" s="227" t="s">
        <v>138</v>
      </c>
      <c r="H224" s="227" t="s">
        <v>138</v>
      </c>
      <c r="I224" s="227">
        <v>0</v>
      </c>
      <c r="J224" s="227" t="str">
        <f>INDEX('[5]TS BYDem'!$J$10:$J$203,MATCH(D224,'[5]TS BYDem'!$D$10:$D$203,0))</f>
        <v/>
      </c>
      <c r="K224" s="227" t="e">
        <f t="shared" ca="1" si="76"/>
        <v>#VALUE!</v>
      </c>
      <c r="L224" s="227" t="e">
        <f t="shared" ca="1" si="76"/>
        <v>#VALUE!</v>
      </c>
      <c r="M224" s="227" t="e">
        <f t="shared" ca="1" si="76"/>
        <v>#VALUE!</v>
      </c>
      <c r="N224" s="227" t="e">
        <f t="shared" ca="1" si="76"/>
        <v>#VALUE!</v>
      </c>
      <c r="O224" s="227" t="e">
        <f t="shared" ca="1" si="76"/>
        <v>#VALUE!</v>
      </c>
      <c r="P224" s="227" t="e">
        <f t="shared" ca="1" si="76"/>
        <v>#VALUE!</v>
      </c>
      <c r="Q224" s="227" t="e">
        <f t="shared" ca="1" si="76"/>
        <v>#VALUE!</v>
      </c>
      <c r="R224" s="227" t="e">
        <f t="shared" ca="1" si="76"/>
        <v>#VALUE!</v>
      </c>
      <c r="S224" s="227" t="e">
        <f t="shared" ca="1" si="76"/>
        <v>#VALUE!</v>
      </c>
      <c r="T224" s="227" t="e">
        <f t="shared" ca="1" si="76"/>
        <v>#VALUE!</v>
      </c>
      <c r="U224" s="227" t="e">
        <f t="shared" ca="1" si="76"/>
        <v>#VALUE!</v>
      </c>
      <c r="V224" s="227" t="e">
        <f t="shared" ca="1" si="76"/>
        <v>#VALUE!</v>
      </c>
      <c r="W224" s="227" t="e">
        <f t="shared" ca="1" si="76"/>
        <v>#VALUE!</v>
      </c>
      <c r="X224" s="227" t="e">
        <f t="shared" ca="1" si="76"/>
        <v>#VALUE!</v>
      </c>
      <c r="Y224" s="227" t="e">
        <f t="shared" ca="1" si="76"/>
        <v>#VALUE!</v>
      </c>
      <c r="Z224" s="227" t="e">
        <f t="shared" ca="1" si="76"/>
        <v>#VALUE!</v>
      </c>
      <c r="AA224" s="227" t="e">
        <f t="shared" ca="1" si="77"/>
        <v>#VALUE!</v>
      </c>
      <c r="AB224" s="227" t="e">
        <f t="shared" ca="1" si="77"/>
        <v>#VALUE!</v>
      </c>
      <c r="AC224" s="227" t="e">
        <f t="shared" ca="1" si="77"/>
        <v>#VALUE!</v>
      </c>
      <c r="AD224" s="227" t="e">
        <f t="shared" ca="1" si="77"/>
        <v>#VALUE!</v>
      </c>
      <c r="AE224" s="227" t="e">
        <f t="shared" ca="1" si="77"/>
        <v>#VALUE!</v>
      </c>
      <c r="AF224" s="227" t="e">
        <f t="shared" ca="1" si="77"/>
        <v>#VALUE!</v>
      </c>
      <c r="AG224" s="227" t="e">
        <f t="shared" ca="1" si="77"/>
        <v>#VALUE!</v>
      </c>
      <c r="AH224" s="227" t="e">
        <f t="shared" ca="1" si="77"/>
        <v>#VALUE!</v>
      </c>
      <c r="AI224" s="227" t="e">
        <f t="shared" ca="1" si="77"/>
        <v>#VALUE!</v>
      </c>
      <c r="AJ224" s="227" t="e">
        <f t="shared" ca="1" si="77"/>
        <v>#VALUE!</v>
      </c>
      <c r="AK224" s="227" t="e">
        <f t="shared" ca="1" si="77"/>
        <v>#VALUE!</v>
      </c>
      <c r="AL224" s="227" t="e">
        <f t="shared" ca="1" si="77"/>
        <v>#VALUE!</v>
      </c>
      <c r="AM224" s="227" t="e">
        <f t="shared" ca="1" si="77"/>
        <v>#VALUE!</v>
      </c>
      <c r="AN224" s="227" t="e">
        <f t="shared" ca="1" si="77"/>
        <v>#VALUE!</v>
      </c>
      <c r="AO224" s="227" t="e">
        <f t="shared" ca="1" si="77"/>
        <v>#VALUE!</v>
      </c>
      <c r="AP224" s="227" t="e">
        <f t="shared" ca="1" si="77"/>
        <v>#VALUE!</v>
      </c>
    </row>
    <row r="225" spans="1:42">
      <c r="A225" s="61" t="str">
        <f>'[5]TS BYDem'!A164</f>
        <v>*</v>
      </c>
      <c r="B225" s="227" t="s">
        <v>295</v>
      </c>
      <c r="C225" s="227" t="s">
        <v>138</v>
      </c>
      <c r="D225" s="227" t="str">
        <f>'[5]TS BYDem'!D164</f>
        <v>IPPS</v>
      </c>
      <c r="E225" s="227" t="s">
        <v>138</v>
      </c>
      <c r="F225" s="227" t="s">
        <v>138</v>
      </c>
      <c r="G225" s="227" t="s">
        <v>138</v>
      </c>
      <c r="H225" s="227" t="s">
        <v>138</v>
      </c>
      <c r="I225" s="227">
        <v>0</v>
      </c>
      <c r="J225" s="227" t="str">
        <f>INDEX('[5]TS BYDem'!$J$10:$J$203,MATCH(D225,'[5]TS BYDem'!$D$10:$D$203,0))</f>
        <v/>
      </c>
      <c r="K225" s="227" t="e">
        <f t="shared" ca="1" si="76"/>
        <v>#VALUE!</v>
      </c>
      <c r="L225" s="227" t="e">
        <f t="shared" ca="1" si="76"/>
        <v>#VALUE!</v>
      </c>
      <c r="M225" s="227" t="e">
        <f t="shared" ca="1" si="76"/>
        <v>#VALUE!</v>
      </c>
      <c r="N225" s="227" t="e">
        <f t="shared" ca="1" si="76"/>
        <v>#VALUE!</v>
      </c>
      <c r="O225" s="227" t="e">
        <f t="shared" ca="1" si="76"/>
        <v>#VALUE!</v>
      </c>
      <c r="P225" s="227" t="e">
        <f t="shared" ca="1" si="76"/>
        <v>#VALUE!</v>
      </c>
      <c r="Q225" s="227" t="e">
        <f t="shared" ca="1" si="76"/>
        <v>#VALUE!</v>
      </c>
      <c r="R225" s="227" t="e">
        <f t="shared" ca="1" si="76"/>
        <v>#VALUE!</v>
      </c>
      <c r="S225" s="227" t="e">
        <f t="shared" ca="1" si="76"/>
        <v>#VALUE!</v>
      </c>
      <c r="T225" s="227" t="e">
        <f t="shared" ca="1" si="76"/>
        <v>#VALUE!</v>
      </c>
      <c r="U225" s="227" t="e">
        <f t="shared" ca="1" si="76"/>
        <v>#VALUE!</v>
      </c>
      <c r="V225" s="227" t="e">
        <f t="shared" ca="1" si="76"/>
        <v>#VALUE!</v>
      </c>
      <c r="W225" s="227" t="e">
        <f t="shared" ca="1" si="76"/>
        <v>#VALUE!</v>
      </c>
      <c r="X225" s="227" t="e">
        <f t="shared" ca="1" si="76"/>
        <v>#VALUE!</v>
      </c>
      <c r="Y225" s="227" t="e">
        <f t="shared" ca="1" si="76"/>
        <v>#VALUE!</v>
      </c>
      <c r="Z225" s="227" t="e">
        <f t="shared" ca="1" si="76"/>
        <v>#VALUE!</v>
      </c>
      <c r="AA225" s="227" t="e">
        <f t="shared" ca="1" si="77"/>
        <v>#VALUE!</v>
      </c>
      <c r="AB225" s="227" t="e">
        <f t="shared" ca="1" si="77"/>
        <v>#VALUE!</v>
      </c>
      <c r="AC225" s="227" t="e">
        <f t="shared" ca="1" si="77"/>
        <v>#VALUE!</v>
      </c>
      <c r="AD225" s="227" t="e">
        <f t="shared" ca="1" si="77"/>
        <v>#VALUE!</v>
      </c>
      <c r="AE225" s="227" t="e">
        <f t="shared" ca="1" si="77"/>
        <v>#VALUE!</v>
      </c>
      <c r="AF225" s="227" t="e">
        <f t="shared" ca="1" si="77"/>
        <v>#VALUE!</v>
      </c>
      <c r="AG225" s="227" t="e">
        <f t="shared" ca="1" si="77"/>
        <v>#VALUE!</v>
      </c>
      <c r="AH225" s="227" t="e">
        <f t="shared" ca="1" si="77"/>
        <v>#VALUE!</v>
      </c>
      <c r="AI225" s="227" t="e">
        <f t="shared" ca="1" si="77"/>
        <v>#VALUE!</v>
      </c>
      <c r="AJ225" s="227" t="e">
        <f t="shared" ca="1" si="77"/>
        <v>#VALUE!</v>
      </c>
      <c r="AK225" s="227" t="e">
        <f t="shared" ca="1" si="77"/>
        <v>#VALUE!</v>
      </c>
      <c r="AL225" s="227" t="e">
        <f t="shared" ca="1" si="77"/>
        <v>#VALUE!</v>
      </c>
      <c r="AM225" s="227" t="e">
        <f t="shared" ca="1" si="77"/>
        <v>#VALUE!</v>
      </c>
      <c r="AN225" s="227" t="e">
        <f t="shared" ca="1" si="77"/>
        <v>#VALUE!</v>
      </c>
      <c r="AO225" s="227" t="e">
        <f t="shared" ca="1" si="77"/>
        <v>#VALUE!</v>
      </c>
      <c r="AP225" s="227" t="e">
        <f t="shared" ca="1" si="77"/>
        <v>#VALUE!</v>
      </c>
    </row>
    <row r="226" spans="1:42">
      <c r="A226" s="61" t="str">
        <f>'[5]TS BYDem'!A165</f>
        <v>*</v>
      </c>
      <c r="B226" s="227" t="s">
        <v>295</v>
      </c>
      <c r="C226" s="227" t="s">
        <v>138</v>
      </c>
      <c r="D226" s="227" t="str">
        <f>'[5]TS BYDem'!D165</f>
        <v>IPPS</v>
      </c>
      <c r="E226" s="227" t="s">
        <v>138</v>
      </c>
      <c r="F226" s="227" t="s">
        <v>138</v>
      </c>
      <c r="G226" s="227" t="s">
        <v>138</v>
      </c>
      <c r="H226" s="227" t="s">
        <v>138</v>
      </c>
      <c r="I226" s="227">
        <v>0</v>
      </c>
      <c r="J226" s="227" t="str">
        <f>INDEX('[5]TS BYDem'!$J$10:$J$203,MATCH(D226,'[5]TS BYDem'!$D$10:$D$203,0))</f>
        <v/>
      </c>
      <c r="K226" s="227" t="e">
        <f t="shared" ca="1" si="76"/>
        <v>#VALUE!</v>
      </c>
      <c r="L226" s="227" t="e">
        <f t="shared" ca="1" si="76"/>
        <v>#VALUE!</v>
      </c>
      <c r="M226" s="227" t="e">
        <f t="shared" ca="1" si="76"/>
        <v>#VALUE!</v>
      </c>
      <c r="N226" s="227" t="e">
        <f t="shared" ca="1" si="76"/>
        <v>#VALUE!</v>
      </c>
      <c r="O226" s="227" t="e">
        <f t="shared" ca="1" si="76"/>
        <v>#VALUE!</v>
      </c>
      <c r="P226" s="227" t="e">
        <f t="shared" ca="1" si="76"/>
        <v>#VALUE!</v>
      </c>
      <c r="Q226" s="227" t="e">
        <f t="shared" ca="1" si="76"/>
        <v>#VALUE!</v>
      </c>
      <c r="R226" s="227" t="e">
        <f t="shared" ca="1" si="76"/>
        <v>#VALUE!</v>
      </c>
      <c r="S226" s="227" t="e">
        <f t="shared" ca="1" si="76"/>
        <v>#VALUE!</v>
      </c>
      <c r="T226" s="227" t="e">
        <f t="shared" ca="1" si="76"/>
        <v>#VALUE!</v>
      </c>
      <c r="U226" s="227" t="e">
        <f t="shared" ca="1" si="76"/>
        <v>#VALUE!</v>
      </c>
      <c r="V226" s="227" t="e">
        <f t="shared" ca="1" si="76"/>
        <v>#VALUE!</v>
      </c>
      <c r="W226" s="227" t="e">
        <f t="shared" ca="1" si="76"/>
        <v>#VALUE!</v>
      </c>
      <c r="X226" s="227" t="e">
        <f t="shared" ca="1" si="76"/>
        <v>#VALUE!</v>
      </c>
      <c r="Y226" s="227" t="e">
        <f t="shared" ca="1" si="76"/>
        <v>#VALUE!</v>
      </c>
      <c r="Z226" s="227" t="e">
        <f t="shared" ca="1" si="76"/>
        <v>#VALUE!</v>
      </c>
      <c r="AA226" s="227" t="e">
        <f t="shared" ca="1" si="77"/>
        <v>#VALUE!</v>
      </c>
      <c r="AB226" s="227" t="e">
        <f t="shared" ca="1" si="77"/>
        <v>#VALUE!</v>
      </c>
      <c r="AC226" s="227" t="e">
        <f t="shared" ca="1" si="77"/>
        <v>#VALUE!</v>
      </c>
      <c r="AD226" s="227" t="e">
        <f t="shared" ca="1" si="77"/>
        <v>#VALUE!</v>
      </c>
      <c r="AE226" s="227" t="e">
        <f t="shared" ca="1" si="77"/>
        <v>#VALUE!</v>
      </c>
      <c r="AF226" s="227" t="e">
        <f t="shared" ca="1" si="77"/>
        <v>#VALUE!</v>
      </c>
      <c r="AG226" s="227" t="e">
        <f t="shared" ca="1" si="77"/>
        <v>#VALUE!</v>
      </c>
      <c r="AH226" s="227" t="e">
        <f t="shared" ca="1" si="77"/>
        <v>#VALUE!</v>
      </c>
      <c r="AI226" s="227" t="e">
        <f t="shared" ca="1" si="77"/>
        <v>#VALUE!</v>
      </c>
      <c r="AJ226" s="227" t="e">
        <f t="shared" ca="1" si="77"/>
        <v>#VALUE!</v>
      </c>
      <c r="AK226" s="227" t="e">
        <f t="shared" ca="1" si="77"/>
        <v>#VALUE!</v>
      </c>
      <c r="AL226" s="227" t="e">
        <f t="shared" ca="1" si="77"/>
        <v>#VALUE!</v>
      </c>
      <c r="AM226" s="227" t="e">
        <f t="shared" ca="1" si="77"/>
        <v>#VALUE!</v>
      </c>
      <c r="AN226" s="227" t="e">
        <f t="shared" ca="1" si="77"/>
        <v>#VALUE!</v>
      </c>
      <c r="AO226" s="227" t="e">
        <f t="shared" ca="1" si="77"/>
        <v>#VALUE!</v>
      </c>
      <c r="AP226" s="227" t="e">
        <f t="shared" ca="1" si="77"/>
        <v>#VALUE!</v>
      </c>
    </row>
    <row r="227" spans="1:42">
      <c r="A227" s="61" t="str">
        <f>'[5]TS BYDem'!A166</f>
        <v>*</v>
      </c>
      <c r="B227" s="227" t="s">
        <v>295</v>
      </c>
      <c r="C227" s="227" t="s">
        <v>138</v>
      </c>
      <c r="D227" s="227" t="str">
        <f>'[5]TS BYDem'!D166</f>
        <v>IPPS</v>
      </c>
      <c r="E227" s="227" t="s">
        <v>138</v>
      </c>
      <c r="F227" s="227" t="s">
        <v>138</v>
      </c>
      <c r="G227" s="227" t="s">
        <v>138</v>
      </c>
      <c r="H227" s="227" t="s">
        <v>138</v>
      </c>
      <c r="I227" s="227">
        <v>0</v>
      </c>
      <c r="J227" s="227" t="str">
        <f>INDEX('[5]TS BYDem'!$J$10:$J$203,MATCH(D227,'[5]TS BYDem'!$D$10:$D$203,0))</f>
        <v/>
      </c>
      <c r="K227" s="227" t="e">
        <f t="shared" ca="1" si="76"/>
        <v>#VALUE!</v>
      </c>
      <c r="L227" s="227" t="e">
        <f t="shared" ca="1" si="76"/>
        <v>#VALUE!</v>
      </c>
      <c r="M227" s="227" t="e">
        <f t="shared" ca="1" si="76"/>
        <v>#VALUE!</v>
      </c>
      <c r="N227" s="227" t="e">
        <f t="shared" ca="1" si="76"/>
        <v>#VALUE!</v>
      </c>
      <c r="O227" s="227" t="e">
        <f t="shared" ca="1" si="76"/>
        <v>#VALUE!</v>
      </c>
      <c r="P227" s="227" t="e">
        <f t="shared" ca="1" si="76"/>
        <v>#VALUE!</v>
      </c>
      <c r="Q227" s="227" t="e">
        <f t="shared" ca="1" si="76"/>
        <v>#VALUE!</v>
      </c>
      <c r="R227" s="227" t="e">
        <f t="shared" ca="1" si="76"/>
        <v>#VALUE!</v>
      </c>
      <c r="S227" s="227" t="e">
        <f t="shared" ca="1" si="76"/>
        <v>#VALUE!</v>
      </c>
      <c r="T227" s="227" t="e">
        <f t="shared" ca="1" si="76"/>
        <v>#VALUE!</v>
      </c>
      <c r="U227" s="227" t="e">
        <f t="shared" ca="1" si="76"/>
        <v>#VALUE!</v>
      </c>
      <c r="V227" s="227" t="e">
        <f t="shared" ca="1" si="76"/>
        <v>#VALUE!</v>
      </c>
      <c r="W227" s="227" t="e">
        <f t="shared" ca="1" si="76"/>
        <v>#VALUE!</v>
      </c>
      <c r="X227" s="227" t="e">
        <f t="shared" ca="1" si="76"/>
        <v>#VALUE!</v>
      </c>
      <c r="Y227" s="227" t="e">
        <f t="shared" ca="1" si="76"/>
        <v>#VALUE!</v>
      </c>
      <c r="Z227" s="227" t="e">
        <f t="shared" ref="Z227:AO228" ca="1" si="78">Z$211/Y$211*Y227</f>
        <v>#VALUE!</v>
      </c>
      <c r="AA227" s="227" t="e">
        <f t="shared" ca="1" si="78"/>
        <v>#VALUE!</v>
      </c>
      <c r="AB227" s="227" t="e">
        <f t="shared" ca="1" si="78"/>
        <v>#VALUE!</v>
      </c>
      <c r="AC227" s="227" t="e">
        <f t="shared" ca="1" si="78"/>
        <v>#VALUE!</v>
      </c>
      <c r="AD227" s="227" t="e">
        <f t="shared" ca="1" si="78"/>
        <v>#VALUE!</v>
      </c>
      <c r="AE227" s="227" t="e">
        <f t="shared" ca="1" si="78"/>
        <v>#VALUE!</v>
      </c>
      <c r="AF227" s="227" t="e">
        <f t="shared" ca="1" si="78"/>
        <v>#VALUE!</v>
      </c>
      <c r="AG227" s="227" t="e">
        <f t="shared" ca="1" si="78"/>
        <v>#VALUE!</v>
      </c>
      <c r="AH227" s="227" t="e">
        <f t="shared" ca="1" si="78"/>
        <v>#VALUE!</v>
      </c>
      <c r="AI227" s="227" t="e">
        <f t="shared" ca="1" si="78"/>
        <v>#VALUE!</v>
      </c>
      <c r="AJ227" s="227" t="e">
        <f t="shared" ca="1" si="78"/>
        <v>#VALUE!</v>
      </c>
      <c r="AK227" s="227" t="e">
        <f t="shared" ca="1" si="78"/>
        <v>#VALUE!</v>
      </c>
      <c r="AL227" s="227" t="e">
        <f t="shared" ca="1" si="78"/>
        <v>#VALUE!</v>
      </c>
      <c r="AM227" s="227" t="e">
        <f t="shared" ca="1" si="78"/>
        <v>#VALUE!</v>
      </c>
      <c r="AN227" s="227" t="e">
        <f t="shared" ca="1" si="78"/>
        <v>#VALUE!</v>
      </c>
      <c r="AO227" s="227" t="e">
        <f t="shared" ca="1" si="78"/>
        <v>#VALUE!</v>
      </c>
      <c r="AP227" s="227" t="e">
        <f t="shared" ca="1" si="77"/>
        <v>#VALUE!</v>
      </c>
    </row>
    <row r="228" spans="1:42">
      <c r="A228" s="61" t="str">
        <f>'[5]TS BYDem'!A167</f>
        <v>*</v>
      </c>
      <c r="B228" s="227" t="s">
        <v>295</v>
      </c>
      <c r="C228" s="227" t="s">
        <v>138</v>
      </c>
      <c r="D228" s="227" t="str">
        <f>'[5]TS BYDem'!D167</f>
        <v>IPPS</v>
      </c>
      <c r="E228" s="227" t="s">
        <v>138</v>
      </c>
      <c r="F228" s="227" t="s">
        <v>138</v>
      </c>
      <c r="G228" s="227" t="s">
        <v>138</v>
      </c>
      <c r="H228" s="227" t="s">
        <v>138</v>
      </c>
      <c r="I228" s="227">
        <v>0</v>
      </c>
      <c r="J228" s="227" t="str">
        <f>INDEX('[5]TS BYDem'!$J$10:$J$203,MATCH(D228,'[5]TS BYDem'!$D$10:$D$203,0))</f>
        <v/>
      </c>
      <c r="K228" s="227" t="e">
        <f t="shared" ref="K228:Z229" ca="1" si="79">K$211/J$211*J228</f>
        <v>#VALUE!</v>
      </c>
      <c r="L228" s="227" t="e">
        <f t="shared" ca="1" si="79"/>
        <v>#VALUE!</v>
      </c>
      <c r="M228" s="227" t="e">
        <f t="shared" ca="1" si="79"/>
        <v>#VALUE!</v>
      </c>
      <c r="N228" s="227" t="e">
        <f t="shared" ca="1" si="79"/>
        <v>#VALUE!</v>
      </c>
      <c r="O228" s="227" t="e">
        <f t="shared" ca="1" si="79"/>
        <v>#VALUE!</v>
      </c>
      <c r="P228" s="227" t="e">
        <f t="shared" ca="1" si="79"/>
        <v>#VALUE!</v>
      </c>
      <c r="Q228" s="227" t="e">
        <f t="shared" ca="1" si="79"/>
        <v>#VALUE!</v>
      </c>
      <c r="R228" s="227" t="e">
        <f t="shared" ca="1" si="79"/>
        <v>#VALUE!</v>
      </c>
      <c r="S228" s="227" t="e">
        <f t="shared" ca="1" si="79"/>
        <v>#VALUE!</v>
      </c>
      <c r="T228" s="227" t="e">
        <f t="shared" ca="1" si="79"/>
        <v>#VALUE!</v>
      </c>
      <c r="U228" s="227" t="e">
        <f t="shared" ca="1" si="79"/>
        <v>#VALUE!</v>
      </c>
      <c r="V228" s="227" t="e">
        <f t="shared" ca="1" si="79"/>
        <v>#VALUE!</v>
      </c>
      <c r="W228" s="227" t="e">
        <f t="shared" ca="1" si="79"/>
        <v>#VALUE!</v>
      </c>
      <c r="X228" s="227" t="e">
        <f t="shared" ca="1" si="79"/>
        <v>#VALUE!</v>
      </c>
      <c r="Y228" s="227" t="e">
        <f t="shared" ca="1" si="79"/>
        <v>#VALUE!</v>
      </c>
      <c r="Z228" s="227" t="e">
        <f t="shared" ca="1" si="79"/>
        <v>#VALUE!</v>
      </c>
      <c r="AA228" s="227" t="e">
        <f t="shared" ca="1" si="78"/>
        <v>#VALUE!</v>
      </c>
      <c r="AB228" s="227" t="e">
        <f t="shared" ca="1" si="78"/>
        <v>#VALUE!</v>
      </c>
      <c r="AC228" s="227" t="e">
        <f t="shared" ca="1" si="78"/>
        <v>#VALUE!</v>
      </c>
      <c r="AD228" s="227" t="e">
        <f t="shared" ca="1" si="78"/>
        <v>#VALUE!</v>
      </c>
      <c r="AE228" s="227" t="e">
        <f t="shared" ca="1" si="78"/>
        <v>#VALUE!</v>
      </c>
      <c r="AF228" s="227" t="e">
        <f t="shared" ca="1" si="78"/>
        <v>#VALUE!</v>
      </c>
      <c r="AG228" s="227" t="e">
        <f t="shared" ca="1" si="78"/>
        <v>#VALUE!</v>
      </c>
      <c r="AH228" s="227" t="e">
        <f t="shared" ca="1" si="78"/>
        <v>#VALUE!</v>
      </c>
      <c r="AI228" s="227" t="e">
        <f t="shared" ca="1" si="78"/>
        <v>#VALUE!</v>
      </c>
      <c r="AJ228" s="227" t="e">
        <f t="shared" ca="1" si="78"/>
        <v>#VALUE!</v>
      </c>
      <c r="AK228" s="227" t="e">
        <f t="shared" ca="1" si="78"/>
        <v>#VALUE!</v>
      </c>
      <c r="AL228" s="227" t="e">
        <f t="shared" ca="1" si="78"/>
        <v>#VALUE!</v>
      </c>
      <c r="AM228" s="227" t="e">
        <f t="shared" ca="1" si="78"/>
        <v>#VALUE!</v>
      </c>
      <c r="AN228" s="227" t="e">
        <f t="shared" ca="1" si="78"/>
        <v>#VALUE!</v>
      </c>
      <c r="AO228" s="227" t="e">
        <f t="shared" ca="1" si="78"/>
        <v>#VALUE!</v>
      </c>
      <c r="AP228" s="227" t="e">
        <f t="shared" ref="L228:AP229" ca="1" si="80">AP$211/AO$211*AO228</f>
        <v>#VALUE!</v>
      </c>
    </row>
    <row r="229" spans="1:42">
      <c r="A229" s="61" t="str">
        <f>'[5]TS BYDem'!A168</f>
        <v>*</v>
      </c>
      <c r="B229" s="227" t="s">
        <v>295</v>
      </c>
      <c r="C229" s="227" t="s">
        <v>138</v>
      </c>
      <c r="D229" s="227" t="str">
        <f>'[5]TS BYDem'!D168</f>
        <v>IPPS</v>
      </c>
      <c r="E229" s="227" t="s">
        <v>138</v>
      </c>
      <c r="F229" s="227" t="s">
        <v>138</v>
      </c>
      <c r="G229" s="227" t="s">
        <v>138</v>
      </c>
      <c r="H229" s="227" t="s">
        <v>138</v>
      </c>
      <c r="I229" s="227">
        <v>0</v>
      </c>
      <c r="J229" s="227" t="str">
        <f>INDEX('[5]TS BYDem'!$J$10:$J$203,MATCH(D229,'[5]TS BYDem'!$D$10:$D$203,0))</f>
        <v/>
      </c>
      <c r="K229" s="227" t="e">
        <f t="shared" ca="1" si="79"/>
        <v>#VALUE!</v>
      </c>
      <c r="L229" s="227" t="e">
        <f t="shared" ca="1" si="80"/>
        <v>#VALUE!</v>
      </c>
      <c r="M229" s="227" t="e">
        <f t="shared" ca="1" si="80"/>
        <v>#VALUE!</v>
      </c>
      <c r="N229" s="227" t="e">
        <f t="shared" ca="1" si="80"/>
        <v>#VALUE!</v>
      </c>
      <c r="O229" s="227" t="e">
        <f t="shared" ca="1" si="80"/>
        <v>#VALUE!</v>
      </c>
      <c r="P229" s="227" t="e">
        <f t="shared" ca="1" si="80"/>
        <v>#VALUE!</v>
      </c>
      <c r="Q229" s="227" t="e">
        <f t="shared" ca="1" si="80"/>
        <v>#VALUE!</v>
      </c>
      <c r="R229" s="227" t="e">
        <f t="shared" ca="1" si="80"/>
        <v>#VALUE!</v>
      </c>
      <c r="S229" s="227" t="e">
        <f t="shared" ca="1" si="80"/>
        <v>#VALUE!</v>
      </c>
      <c r="T229" s="227" t="e">
        <f t="shared" ca="1" si="80"/>
        <v>#VALUE!</v>
      </c>
      <c r="U229" s="227" t="e">
        <f t="shared" ca="1" si="80"/>
        <v>#VALUE!</v>
      </c>
      <c r="V229" s="227" t="e">
        <f t="shared" ca="1" si="80"/>
        <v>#VALUE!</v>
      </c>
      <c r="W229" s="227" t="e">
        <f t="shared" ca="1" si="80"/>
        <v>#VALUE!</v>
      </c>
      <c r="X229" s="227" t="e">
        <f t="shared" ca="1" si="80"/>
        <v>#VALUE!</v>
      </c>
      <c r="Y229" s="227" t="e">
        <f t="shared" ca="1" si="80"/>
        <v>#VALUE!</v>
      </c>
      <c r="Z229" s="227" t="e">
        <f t="shared" ca="1" si="80"/>
        <v>#VALUE!</v>
      </c>
      <c r="AA229" s="227" t="e">
        <f t="shared" ca="1" si="80"/>
        <v>#VALUE!</v>
      </c>
      <c r="AB229" s="227" t="e">
        <f t="shared" ca="1" si="80"/>
        <v>#VALUE!</v>
      </c>
      <c r="AC229" s="227" t="e">
        <f t="shared" ca="1" si="80"/>
        <v>#VALUE!</v>
      </c>
      <c r="AD229" s="227" t="e">
        <f t="shared" ca="1" si="80"/>
        <v>#VALUE!</v>
      </c>
      <c r="AE229" s="227" t="e">
        <f t="shared" ca="1" si="80"/>
        <v>#VALUE!</v>
      </c>
      <c r="AF229" s="227" t="e">
        <f t="shared" ca="1" si="80"/>
        <v>#VALUE!</v>
      </c>
      <c r="AG229" s="227" t="e">
        <f t="shared" ca="1" si="80"/>
        <v>#VALUE!</v>
      </c>
      <c r="AH229" s="227" t="e">
        <f t="shared" ca="1" si="80"/>
        <v>#VALUE!</v>
      </c>
      <c r="AI229" s="227" t="e">
        <f t="shared" ca="1" si="80"/>
        <v>#VALUE!</v>
      </c>
      <c r="AJ229" s="227" t="e">
        <f t="shared" ca="1" si="80"/>
        <v>#VALUE!</v>
      </c>
      <c r="AK229" s="227" t="e">
        <f t="shared" ca="1" si="80"/>
        <v>#VALUE!</v>
      </c>
      <c r="AL229" s="227" t="e">
        <f t="shared" ca="1" si="80"/>
        <v>#VALUE!</v>
      </c>
      <c r="AM229" s="227" t="e">
        <f t="shared" ca="1" si="80"/>
        <v>#VALUE!</v>
      </c>
      <c r="AN229" s="227" t="e">
        <f t="shared" ca="1" si="80"/>
        <v>#VALUE!</v>
      </c>
      <c r="AO229" s="227" t="e">
        <f t="shared" ca="1" si="80"/>
        <v>#VALUE!</v>
      </c>
      <c r="AP229" s="227" t="e">
        <f t="shared" ca="1" si="80"/>
        <v>#VALUE!</v>
      </c>
    </row>
    <row r="230" spans="1:42" s="5" customFormat="1">
      <c r="A230" s="61" t="str">
        <f>'[5]TS BYDem'!A165</f>
        <v>*</v>
      </c>
      <c r="B230" s="5">
        <f>B211+2</f>
        <v>13</v>
      </c>
      <c r="C230" s="3" t="str">
        <f ca="1">OFFSET($C$9,$B230,0)</f>
        <v>Other</v>
      </c>
      <c r="D230" s="3" t="str">
        <f ca="1">OFFSET($B$9,$B230,0)</f>
        <v>OT</v>
      </c>
      <c r="J230" s="5">
        <f ca="1">SUMIF($B$10:$B$22,$D230,J$10:J$22)*SUMIF($B$10:$B$22,$D230,J$41:J$53)</f>
        <v>7.334621058350009E-2</v>
      </c>
      <c r="K230" s="5">
        <f t="shared" ref="K230:AP230" ca="1" si="81">SUMIF($B$10:$B$22,$D230,K$10:K$22)*SUMIF($B$10:$B$22,$D230,K$41:K$53)</f>
        <v>7.446925745745217E-2</v>
      </c>
      <c r="L230" s="5">
        <f t="shared" ca="1" si="81"/>
        <v>7.559230433140425E-2</v>
      </c>
      <c r="M230" s="5">
        <f t="shared" ca="1" si="81"/>
        <v>7.6715351205356344E-2</v>
      </c>
      <c r="N230" s="5">
        <f t="shared" ca="1" si="81"/>
        <v>7.7250127457606038E-2</v>
      </c>
      <c r="O230" s="5">
        <f t="shared" ca="1" si="81"/>
        <v>7.7784903709855732E-2</v>
      </c>
      <c r="P230" s="5">
        <f t="shared" ca="1" si="81"/>
        <v>7.8319679962105426E-2</v>
      </c>
      <c r="Q230" s="5">
        <f t="shared" ca="1" si="81"/>
        <v>7.885445621435512E-2</v>
      </c>
      <c r="R230" s="5">
        <f t="shared" ca="1" si="81"/>
        <v>7.9389232466604828E-2</v>
      </c>
      <c r="S230" s="5">
        <f t="shared" ca="1" si="81"/>
        <v>8.1048183437931687E-2</v>
      </c>
      <c r="T230" s="5">
        <f t="shared" ca="1" si="81"/>
        <v>8.2707134409258545E-2</v>
      </c>
      <c r="U230" s="5">
        <f t="shared" ca="1" si="81"/>
        <v>8.4366085380585404E-2</v>
      </c>
      <c r="V230" s="5">
        <f t="shared" ca="1" si="81"/>
        <v>8.6025036351912262E-2</v>
      </c>
      <c r="W230" s="5">
        <f t="shared" ca="1" si="81"/>
        <v>8.7683987323239093E-2</v>
      </c>
      <c r="X230" s="5">
        <f t="shared" ca="1" si="81"/>
        <v>8.995181812645249E-2</v>
      </c>
      <c r="Y230" s="5">
        <f t="shared" ca="1" si="81"/>
        <v>9.2219648929665887E-2</v>
      </c>
      <c r="Z230" s="5">
        <f t="shared" ca="1" si="81"/>
        <v>9.4487479732879284E-2</v>
      </c>
      <c r="AA230" s="5">
        <f t="shared" ca="1" si="81"/>
        <v>9.6755310536092681E-2</v>
      </c>
      <c r="AB230" s="5">
        <f t="shared" ca="1" si="81"/>
        <v>9.9023141339306106E-2</v>
      </c>
      <c r="AC230" s="5">
        <f t="shared" ca="1" si="81"/>
        <v>0.10145988699744091</v>
      </c>
      <c r="AD230" s="5">
        <f t="shared" ca="1" si="81"/>
        <v>0.10389663265557571</v>
      </c>
      <c r="AE230" s="5">
        <f t="shared" ca="1" si="81"/>
        <v>0.10633337831371051</v>
      </c>
      <c r="AF230" s="5">
        <f t="shared" ca="1" si="81"/>
        <v>0.10877012397184531</v>
      </c>
      <c r="AG230" s="5">
        <f t="shared" ca="1" si="81"/>
        <v>0.11120686962998012</v>
      </c>
      <c r="AH230" s="5">
        <f t="shared" ca="1" si="81"/>
        <v>0.11397428670822626</v>
      </c>
      <c r="AI230" s="5">
        <f t="shared" ca="1" si="81"/>
        <v>0.1167417037864724</v>
      </c>
      <c r="AJ230" s="5">
        <f t="shared" ca="1" si="81"/>
        <v>0.11950912086471854</v>
      </c>
      <c r="AK230" s="5">
        <f t="shared" ca="1" si="81"/>
        <v>0.12227653794296468</v>
      </c>
      <c r="AL230" s="5">
        <f t="shared" ca="1" si="81"/>
        <v>0.1250439550212108</v>
      </c>
      <c r="AM230" s="5">
        <f t="shared" ca="1" si="81"/>
        <v>0.13904673471519646</v>
      </c>
      <c r="AN230" s="5">
        <f t="shared" ca="1" si="81"/>
        <v>0.15377415548370874</v>
      </c>
      <c r="AO230" s="5">
        <f t="shared" ca="1" si="81"/>
        <v>0.18238358243378627</v>
      </c>
      <c r="AP230" s="5">
        <f t="shared" ca="1" si="81"/>
        <v>0.21111378289628391</v>
      </c>
    </row>
    <row r="231" spans="1:42">
      <c r="A231" s="61" t="str">
        <f>'[5]TS BYDem'!A170</f>
        <v>*</v>
      </c>
      <c r="B231" s="227" t="s">
        <v>295</v>
      </c>
      <c r="C231" s="227" t="s">
        <v>138</v>
      </c>
      <c r="D231" s="227">
        <f>'[5]TS BYDem'!D170</f>
        <v>0</v>
      </c>
      <c r="E231" s="227" t="s">
        <v>138</v>
      </c>
      <c r="F231" s="227" t="s">
        <v>138</v>
      </c>
      <c r="G231" s="227" t="s">
        <v>138</v>
      </c>
      <c r="H231" s="227" t="s">
        <v>138</v>
      </c>
      <c r="I231" s="227">
        <v>0</v>
      </c>
      <c r="J231" s="227" t="str">
        <f>INDEX('[5]TS BYDem'!$J$10:$J$203,MATCH(D231,'[5]TS BYDem'!$D$10:$D$203,0))</f>
        <v/>
      </c>
      <c r="K231" s="227" t="e">
        <f t="shared" ref="K231:Z253" ca="1" si="82">K$230/J$230*J231</f>
        <v>#VALUE!</v>
      </c>
      <c r="L231" s="227" t="e">
        <f t="shared" ca="1" si="82"/>
        <v>#VALUE!</v>
      </c>
      <c r="M231" s="227" t="e">
        <f t="shared" ca="1" si="82"/>
        <v>#VALUE!</v>
      </c>
      <c r="N231" s="227" t="e">
        <f t="shared" ca="1" si="82"/>
        <v>#VALUE!</v>
      </c>
      <c r="O231" s="227" t="e">
        <f t="shared" ca="1" si="82"/>
        <v>#VALUE!</v>
      </c>
      <c r="P231" s="227" t="e">
        <f t="shared" ca="1" si="82"/>
        <v>#VALUE!</v>
      </c>
      <c r="Q231" s="227" t="e">
        <f t="shared" ca="1" si="82"/>
        <v>#VALUE!</v>
      </c>
      <c r="R231" s="227" t="e">
        <f t="shared" ca="1" si="82"/>
        <v>#VALUE!</v>
      </c>
      <c r="S231" s="227" t="e">
        <f t="shared" ca="1" si="82"/>
        <v>#VALUE!</v>
      </c>
      <c r="T231" s="227" t="e">
        <f t="shared" ca="1" si="82"/>
        <v>#VALUE!</v>
      </c>
      <c r="U231" s="227" t="e">
        <f t="shared" ca="1" si="82"/>
        <v>#VALUE!</v>
      </c>
      <c r="V231" s="227" t="e">
        <f t="shared" ca="1" si="82"/>
        <v>#VALUE!</v>
      </c>
      <c r="W231" s="227" t="e">
        <f t="shared" ca="1" si="82"/>
        <v>#VALUE!</v>
      </c>
      <c r="X231" s="227" t="e">
        <f t="shared" ca="1" si="82"/>
        <v>#VALUE!</v>
      </c>
      <c r="Y231" s="227" t="e">
        <f t="shared" ca="1" si="82"/>
        <v>#VALUE!</v>
      </c>
      <c r="Z231" s="227" t="e">
        <f t="shared" ca="1" si="82"/>
        <v>#VALUE!</v>
      </c>
      <c r="AA231" s="227" t="e">
        <f t="shared" ref="AA231:AP246" ca="1" si="83">AA$230/Z$230*Z231</f>
        <v>#VALUE!</v>
      </c>
      <c r="AB231" s="227" t="e">
        <f t="shared" ca="1" si="83"/>
        <v>#VALUE!</v>
      </c>
      <c r="AC231" s="227" t="e">
        <f t="shared" ca="1" si="83"/>
        <v>#VALUE!</v>
      </c>
      <c r="AD231" s="227" t="e">
        <f t="shared" ca="1" si="83"/>
        <v>#VALUE!</v>
      </c>
      <c r="AE231" s="227" t="e">
        <f t="shared" ca="1" si="83"/>
        <v>#VALUE!</v>
      </c>
      <c r="AF231" s="227" t="e">
        <f t="shared" ca="1" si="83"/>
        <v>#VALUE!</v>
      </c>
      <c r="AG231" s="227" t="e">
        <f t="shared" ca="1" si="83"/>
        <v>#VALUE!</v>
      </c>
      <c r="AH231" s="227" t="e">
        <f t="shared" ca="1" si="83"/>
        <v>#VALUE!</v>
      </c>
      <c r="AI231" s="227" t="e">
        <f t="shared" ca="1" si="83"/>
        <v>#VALUE!</v>
      </c>
      <c r="AJ231" s="227" t="e">
        <f t="shared" ca="1" si="83"/>
        <v>#VALUE!</v>
      </c>
      <c r="AK231" s="227" t="e">
        <f t="shared" ca="1" si="83"/>
        <v>#VALUE!</v>
      </c>
      <c r="AL231" s="227" t="e">
        <f t="shared" ca="1" si="83"/>
        <v>#VALUE!</v>
      </c>
      <c r="AM231" s="227" t="e">
        <f t="shared" ca="1" si="83"/>
        <v>#VALUE!</v>
      </c>
      <c r="AN231" s="227" t="e">
        <f t="shared" ca="1" si="83"/>
        <v>#VALUE!</v>
      </c>
      <c r="AO231" s="227" t="e">
        <f t="shared" ca="1" si="83"/>
        <v>#VALUE!</v>
      </c>
      <c r="AP231" s="227" t="e">
        <f t="shared" ca="1" si="83"/>
        <v>#VALUE!</v>
      </c>
    </row>
    <row r="232" spans="1:42">
      <c r="A232" s="61" t="str">
        <f>'[5]TS BYDem'!A171</f>
        <v>*</v>
      </c>
      <c r="B232" s="227" t="s">
        <v>295</v>
      </c>
      <c r="C232" s="227" t="s">
        <v>138</v>
      </c>
      <c r="D232" s="227">
        <f>'[5]TS BYDem'!D171</f>
        <v>2</v>
      </c>
      <c r="E232" s="227" t="s">
        <v>138</v>
      </c>
      <c r="F232" s="227" t="s">
        <v>138</v>
      </c>
      <c r="G232" s="227" t="s">
        <v>138</v>
      </c>
      <c r="H232" s="227" t="s">
        <v>138</v>
      </c>
      <c r="I232" s="227">
        <v>0</v>
      </c>
      <c r="J232" s="227" t="str">
        <f>INDEX('[5]TS BYDem'!$J$10:$J$203,MATCH(D232,'[5]TS BYDem'!$D$10:$D$203,0))</f>
        <v/>
      </c>
      <c r="K232" s="227" t="e">
        <f t="shared" ca="1" si="82"/>
        <v>#VALUE!</v>
      </c>
      <c r="L232" s="227" t="e">
        <f t="shared" ca="1" si="82"/>
        <v>#VALUE!</v>
      </c>
      <c r="M232" s="227" t="e">
        <f t="shared" ca="1" si="82"/>
        <v>#VALUE!</v>
      </c>
      <c r="N232" s="227" t="e">
        <f t="shared" ca="1" si="82"/>
        <v>#VALUE!</v>
      </c>
      <c r="O232" s="227" t="e">
        <f t="shared" ca="1" si="82"/>
        <v>#VALUE!</v>
      </c>
      <c r="P232" s="227" t="e">
        <f t="shared" ca="1" si="82"/>
        <v>#VALUE!</v>
      </c>
      <c r="Q232" s="227" t="e">
        <f t="shared" ca="1" si="82"/>
        <v>#VALUE!</v>
      </c>
      <c r="R232" s="227" t="e">
        <f t="shared" ca="1" si="82"/>
        <v>#VALUE!</v>
      </c>
      <c r="S232" s="227" t="e">
        <f t="shared" ca="1" si="82"/>
        <v>#VALUE!</v>
      </c>
      <c r="T232" s="227" t="e">
        <f t="shared" ca="1" si="82"/>
        <v>#VALUE!</v>
      </c>
      <c r="U232" s="227" t="e">
        <f t="shared" ca="1" si="82"/>
        <v>#VALUE!</v>
      </c>
      <c r="V232" s="227" t="e">
        <f t="shared" ca="1" si="82"/>
        <v>#VALUE!</v>
      </c>
      <c r="W232" s="227" t="e">
        <f t="shared" ca="1" si="82"/>
        <v>#VALUE!</v>
      </c>
      <c r="X232" s="227" t="e">
        <f t="shared" ca="1" si="82"/>
        <v>#VALUE!</v>
      </c>
      <c r="Y232" s="227" t="e">
        <f t="shared" ca="1" si="82"/>
        <v>#VALUE!</v>
      </c>
      <c r="Z232" s="227" t="e">
        <f t="shared" ca="1" si="82"/>
        <v>#VALUE!</v>
      </c>
      <c r="AA232" s="227" t="e">
        <f t="shared" ca="1" si="83"/>
        <v>#VALUE!</v>
      </c>
      <c r="AB232" s="227" t="e">
        <f t="shared" ca="1" si="83"/>
        <v>#VALUE!</v>
      </c>
      <c r="AC232" s="227" t="e">
        <f t="shared" ca="1" si="83"/>
        <v>#VALUE!</v>
      </c>
      <c r="AD232" s="227" t="e">
        <f t="shared" ca="1" si="83"/>
        <v>#VALUE!</v>
      </c>
      <c r="AE232" s="227" t="e">
        <f t="shared" ca="1" si="83"/>
        <v>#VALUE!</v>
      </c>
      <c r="AF232" s="227" t="e">
        <f t="shared" ca="1" si="83"/>
        <v>#VALUE!</v>
      </c>
      <c r="AG232" s="227" t="e">
        <f t="shared" ca="1" si="83"/>
        <v>#VALUE!</v>
      </c>
      <c r="AH232" s="227" t="e">
        <f t="shared" ca="1" si="83"/>
        <v>#VALUE!</v>
      </c>
      <c r="AI232" s="227" t="e">
        <f t="shared" ca="1" si="83"/>
        <v>#VALUE!</v>
      </c>
      <c r="AJ232" s="227" t="e">
        <f t="shared" ca="1" si="83"/>
        <v>#VALUE!</v>
      </c>
      <c r="AK232" s="227" t="e">
        <f t="shared" ca="1" si="83"/>
        <v>#VALUE!</v>
      </c>
      <c r="AL232" s="227" t="e">
        <f t="shared" ca="1" si="83"/>
        <v>#VALUE!</v>
      </c>
      <c r="AM232" s="227" t="e">
        <f t="shared" ca="1" si="83"/>
        <v>#VALUE!</v>
      </c>
      <c r="AN232" s="227" t="e">
        <f t="shared" ca="1" si="83"/>
        <v>#VALUE!</v>
      </c>
      <c r="AO232" s="227" t="e">
        <f t="shared" ca="1" si="83"/>
        <v>#VALUE!</v>
      </c>
      <c r="AP232" s="227" t="e">
        <f t="shared" ca="1" si="83"/>
        <v>#VALUE!</v>
      </c>
    </row>
    <row r="233" spans="1:42">
      <c r="A233" s="61" t="str">
        <f>'[5]TS BYDem'!A172</f>
        <v/>
      </c>
      <c r="B233" s="227" t="s">
        <v>295</v>
      </c>
      <c r="C233" s="227" t="s">
        <v>138</v>
      </c>
      <c r="D233" s="227" t="str">
        <f>'[5]TS BYDem'!D172</f>
        <v>IOTK</v>
      </c>
      <c r="E233" s="227" t="s">
        <v>138</v>
      </c>
      <c r="F233" s="227" t="s">
        <v>138</v>
      </c>
      <c r="G233" s="227" t="s">
        <v>138</v>
      </c>
      <c r="H233" s="227" t="s">
        <v>138</v>
      </c>
      <c r="I233" s="227">
        <v>0</v>
      </c>
      <c r="J233" s="227">
        <f>INDEX('[5]TS BYDem'!$J$10:$J$203,MATCH(D233,'[5]TS BYDem'!$D$10:$D$203,0))</f>
        <v>4.0241553496851505</v>
      </c>
      <c r="K233" s="227">
        <f t="shared" ca="1" si="82"/>
        <v>4.0857715538463255</v>
      </c>
      <c r="L233" s="227">
        <f t="shared" ca="1" si="82"/>
        <v>4.1473877580074996</v>
      </c>
      <c r="M233" s="234">
        <f t="shared" ref="M233:M241" si="84">O233</f>
        <v>2.1816720000000003</v>
      </c>
      <c r="N233" s="234">
        <f t="shared" ref="N233:N241" si="85">O233</f>
        <v>2.1816720000000003</v>
      </c>
      <c r="O233" s="234">
        <f>INDEX('[5]TS BYDem'!$O$10:$O$203,MATCH(D233,'[5]TS BYDem'!$D$10:$D$203,0))</f>
        <v>2.1816720000000003</v>
      </c>
      <c r="P233" s="227">
        <f t="shared" ca="1" si="82"/>
        <v>2.1966711363382028</v>
      </c>
      <c r="Q233" s="227">
        <f t="shared" ca="1" si="82"/>
        <v>2.2116702726764057</v>
      </c>
      <c r="R233" s="227">
        <f t="shared" ca="1" si="82"/>
        <v>2.2266694090146091</v>
      </c>
      <c r="S233" s="227">
        <f t="shared" ca="1" si="82"/>
        <v>2.273198834531633</v>
      </c>
      <c r="T233" s="227">
        <f t="shared" ca="1" si="82"/>
        <v>2.3197282600486568</v>
      </c>
      <c r="U233" s="227">
        <f t="shared" ca="1" si="82"/>
        <v>2.3662576855656807</v>
      </c>
      <c r="V233" s="227">
        <f t="shared" ca="1" si="82"/>
        <v>2.4127871110827046</v>
      </c>
      <c r="W233" s="227">
        <f t="shared" ca="1" si="82"/>
        <v>2.459316536599728</v>
      </c>
      <c r="X233" s="227">
        <f t="shared" ca="1" si="82"/>
        <v>2.5229235185221248</v>
      </c>
      <c r="Y233" s="227">
        <f t="shared" ca="1" si="82"/>
        <v>2.586530500444522</v>
      </c>
      <c r="Z233" s="227">
        <f t="shared" ca="1" si="82"/>
        <v>2.6501374823669188</v>
      </c>
      <c r="AA233" s="227">
        <f t="shared" ca="1" si="83"/>
        <v>2.7137444642893156</v>
      </c>
      <c r="AB233" s="227">
        <f t="shared" ca="1" si="83"/>
        <v>2.7773514462117137</v>
      </c>
      <c r="AC233" s="227">
        <f t="shared" ca="1" si="83"/>
        <v>2.8456960673390221</v>
      </c>
      <c r="AD233" s="227">
        <f t="shared" ca="1" si="83"/>
        <v>2.9140406884663306</v>
      </c>
      <c r="AE233" s="227">
        <f t="shared" ca="1" si="83"/>
        <v>2.982385309593639</v>
      </c>
      <c r="AF233" s="227">
        <f t="shared" ca="1" si="83"/>
        <v>3.0507299307209479</v>
      </c>
      <c r="AG233" s="227">
        <f t="shared" ca="1" si="83"/>
        <v>3.1190745518482568</v>
      </c>
      <c r="AH233" s="227">
        <f t="shared" ca="1" si="83"/>
        <v>3.1966936792621334</v>
      </c>
      <c r="AI233" s="227">
        <f t="shared" ca="1" si="83"/>
        <v>3.2743128066760101</v>
      </c>
      <c r="AJ233" s="227">
        <f t="shared" ca="1" si="83"/>
        <v>3.3519319340898868</v>
      </c>
      <c r="AK233" s="227">
        <f t="shared" ca="1" si="83"/>
        <v>3.4295510615037634</v>
      </c>
      <c r="AL233" s="227">
        <f t="shared" ca="1" si="83"/>
        <v>3.5071701889176392</v>
      </c>
      <c r="AM233" s="227">
        <f t="shared" ca="1" si="83"/>
        <v>3.8999131367586397</v>
      </c>
      <c r="AN233" s="227">
        <f t="shared" ca="1" si="83"/>
        <v>4.3129804543287795</v>
      </c>
      <c r="AO233" s="227">
        <f t="shared" ca="1" si="83"/>
        <v>5.1154033247850821</v>
      </c>
      <c r="AP233" s="227">
        <f t="shared" ca="1" si="83"/>
        <v>5.9212135901962135</v>
      </c>
    </row>
    <row r="234" spans="1:42">
      <c r="A234" s="61" t="str">
        <f>'[5]TS BYDem'!A173</f>
        <v/>
      </c>
      <c r="B234" s="227" t="s">
        <v>295</v>
      </c>
      <c r="C234" s="227" t="s">
        <v>138</v>
      </c>
      <c r="D234" s="227" t="str">
        <f>'[5]TS BYDem'!D173</f>
        <v>IOTA</v>
      </c>
      <c r="E234" s="227" t="s">
        <v>138</v>
      </c>
      <c r="F234" s="227" t="s">
        <v>138</v>
      </c>
      <c r="G234" s="227" t="s">
        <v>138</v>
      </c>
      <c r="H234" s="227" t="s">
        <v>138</v>
      </c>
      <c r="I234" s="227">
        <v>0</v>
      </c>
      <c r="J234" s="227">
        <f>INDEX('[5]TS BYDem'!$J$10:$J$203,MATCH(D234,'[5]TS BYDem'!$D$10:$D$203,0))</f>
        <v>0.22789646617646991</v>
      </c>
      <c r="K234" s="227">
        <f t="shared" ca="1" si="82"/>
        <v>0.23138592271264422</v>
      </c>
      <c r="L234" s="227">
        <f t="shared" ca="1" si="82"/>
        <v>0.23487537924881849</v>
      </c>
      <c r="M234" s="234">
        <f t="shared" si="84"/>
        <v>0.12355272</v>
      </c>
      <c r="N234" s="234">
        <f t="shared" si="85"/>
        <v>0.12355272</v>
      </c>
      <c r="O234" s="234">
        <f>INDEX('[5]TS BYDem'!$O$10:$O$203,MATCH(D234,'[5]TS BYDem'!$D$10:$D$203,0))</f>
        <v>0.12355272</v>
      </c>
      <c r="P234" s="227">
        <f t="shared" ca="1" si="82"/>
        <v>0.12440215295428267</v>
      </c>
      <c r="Q234" s="227">
        <f t="shared" ca="1" si="82"/>
        <v>0.12525158590856536</v>
      </c>
      <c r="R234" s="227">
        <f t="shared" ca="1" si="82"/>
        <v>0.12610101886284805</v>
      </c>
      <c r="S234" s="227">
        <f t="shared" ca="1" si="82"/>
        <v>0.12873607907477069</v>
      </c>
      <c r="T234" s="227">
        <f t="shared" ca="1" si="82"/>
        <v>0.13137113928669336</v>
      </c>
      <c r="U234" s="227">
        <f t="shared" ca="1" si="82"/>
        <v>0.134006199498616</v>
      </c>
      <c r="V234" s="227">
        <f t="shared" ca="1" si="82"/>
        <v>0.13664125971053864</v>
      </c>
      <c r="W234" s="227">
        <f t="shared" ca="1" si="82"/>
        <v>0.13927631992246126</v>
      </c>
      <c r="X234" s="227">
        <f t="shared" ca="1" si="82"/>
        <v>0.14287851843236693</v>
      </c>
      <c r="Y234" s="227">
        <f t="shared" ca="1" si="82"/>
        <v>0.14648071694227263</v>
      </c>
      <c r="Z234" s="227">
        <f t="shared" ca="1" si="82"/>
        <v>0.15008291545217831</v>
      </c>
      <c r="AA234" s="227">
        <f t="shared" ca="1" si="83"/>
        <v>0.15368511396208398</v>
      </c>
      <c r="AB234" s="227">
        <f t="shared" ca="1" si="83"/>
        <v>0.15728731247198974</v>
      </c>
      <c r="AC234" s="227">
        <f t="shared" ca="1" si="83"/>
        <v>0.16115781355448447</v>
      </c>
      <c r="AD234" s="227">
        <f t="shared" ca="1" si="83"/>
        <v>0.1650283146369792</v>
      </c>
      <c r="AE234" s="227">
        <f t="shared" ca="1" si="83"/>
        <v>0.16889881571947393</v>
      </c>
      <c r="AF234" s="227">
        <f t="shared" ca="1" si="83"/>
        <v>0.17276931680196866</v>
      </c>
      <c r="AG234" s="227">
        <f t="shared" ca="1" si="83"/>
        <v>0.1766398178844634</v>
      </c>
      <c r="AH234" s="227">
        <f t="shared" ca="1" si="83"/>
        <v>0.18103555396028553</v>
      </c>
      <c r="AI234" s="227">
        <f t="shared" ca="1" si="83"/>
        <v>0.18543129003610764</v>
      </c>
      <c r="AJ234" s="227">
        <f t="shared" ca="1" si="83"/>
        <v>0.18982702611192978</v>
      </c>
      <c r="AK234" s="227">
        <f t="shared" ca="1" si="83"/>
        <v>0.19422276218775192</v>
      </c>
      <c r="AL234" s="227">
        <f t="shared" ca="1" si="83"/>
        <v>0.198618498263574</v>
      </c>
      <c r="AM234" s="227">
        <f t="shared" ca="1" si="83"/>
        <v>0.22086036572420684</v>
      </c>
      <c r="AN234" s="227">
        <f t="shared" ca="1" si="83"/>
        <v>0.24425324541872304</v>
      </c>
      <c r="AO234" s="227">
        <f t="shared" ca="1" si="83"/>
        <v>0.28969615720155922</v>
      </c>
      <c r="AP234" s="227">
        <f t="shared" ca="1" si="83"/>
        <v>0.3353309043567077</v>
      </c>
    </row>
    <row r="235" spans="1:42">
      <c r="A235" s="61" t="str">
        <f>'[5]TS BYDem'!A174</f>
        <v/>
      </c>
      <c r="B235" s="227" t="s">
        <v>295</v>
      </c>
      <c r="C235" s="227" t="s">
        <v>138</v>
      </c>
      <c r="D235" s="227" t="str">
        <f>'[5]TS BYDem'!D174</f>
        <v>IOTL</v>
      </c>
      <c r="E235" s="227" t="s">
        <v>138</v>
      </c>
      <c r="F235" s="227" t="s">
        <v>138</v>
      </c>
      <c r="G235" s="227" t="s">
        <v>138</v>
      </c>
      <c r="H235" s="227" t="s">
        <v>138</v>
      </c>
      <c r="I235" s="227">
        <v>0</v>
      </c>
      <c r="J235" s="227">
        <f>INDEX('[5]TS BYDem'!$J$10:$J$203,MATCH(D235,'[5]TS BYDem'!$D$10:$D$203,0))</f>
        <v>1.0095834302163471</v>
      </c>
      <c r="K235" s="227">
        <f t="shared" ca="1" si="82"/>
        <v>1.0250417545970936</v>
      </c>
      <c r="L235" s="227">
        <f t="shared" ca="1" si="82"/>
        <v>1.04050007897784</v>
      </c>
      <c r="M235" s="234">
        <f t="shared" si="84"/>
        <v>0.54733968</v>
      </c>
      <c r="N235" s="234">
        <f t="shared" si="85"/>
        <v>0.54733968</v>
      </c>
      <c r="O235" s="234">
        <f>INDEX('[5]TS BYDem'!$O$10:$O$203,MATCH(D235,'[5]TS BYDem'!$D$10:$D$203,0))</f>
        <v>0.54733968</v>
      </c>
      <c r="P235" s="227">
        <f t="shared" ca="1" si="82"/>
        <v>0.55110267575904548</v>
      </c>
      <c r="Q235" s="227">
        <f t="shared" ca="1" si="82"/>
        <v>0.55486567151809096</v>
      </c>
      <c r="R235" s="227">
        <f t="shared" ca="1" si="82"/>
        <v>0.55862866727713656</v>
      </c>
      <c r="S235" s="227">
        <f t="shared" ca="1" si="82"/>
        <v>0.57030200812446452</v>
      </c>
      <c r="T235" s="227">
        <f t="shared" ca="1" si="82"/>
        <v>0.58197534897179248</v>
      </c>
      <c r="U235" s="227">
        <f t="shared" ca="1" si="82"/>
        <v>0.59364868981912045</v>
      </c>
      <c r="V235" s="227">
        <f t="shared" ca="1" si="82"/>
        <v>0.60532203066644841</v>
      </c>
      <c r="W235" s="227">
        <f t="shared" ca="1" si="82"/>
        <v>0.61699537151377626</v>
      </c>
      <c r="X235" s="227">
        <f t="shared" ca="1" si="82"/>
        <v>0.63295314386964385</v>
      </c>
      <c r="Y235" s="227">
        <f t="shared" ca="1" si="82"/>
        <v>0.64891091622551156</v>
      </c>
      <c r="Z235" s="227">
        <f t="shared" ca="1" si="82"/>
        <v>0.66486868858137915</v>
      </c>
      <c r="AA235" s="227">
        <f t="shared" ca="1" si="83"/>
        <v>0.68082646093724675</v>
      </c>
      <c r="AB235" s="227">
        <f t="shared" ca="1" si="83"/>
        <v>0.69678423329311467</v>
      </c>
      <c r="AC235" s="227">
        <f t="shared" ca="1" si="83"/>
        <v>0.71393058850028712</v>
      </c>
      <c r="AD235" s="227">
        <f t="shared" ca="1" si="83"/>
        <v>0.73107694370745957</v>
      </c>
      <c r="AE235" s="227">
        <f t="shared" ca="1" si="83"/>
        <v>0.74822329891463202</v>
      </c>
      <c r="AF235" s="227">
        <f t="shared" ca="1" si="83"/>
        <v>0.76536965412180447</v>
      </c>
      <c r="AG235" s="227">
        <f t="shared" ca="1" si="83"/>
        <v>0.78251600932897691</v>
      </c>
      <c r="AH235" s="227">
        <f t="shared" ca="1" si="83"/>
        <v>0.80198916036203338</v>
      </c>
      <c r="AI235" s="227">
        <f t="shared" ca="1" si="83"/>
        <v>0.82146231139508985</v>
      </c>
      <c r="AJ235" s="227">
        <f t="shared" ca="1" si="83"/>
        <v>0.84093546242814632</v>
      </c>
      <c r="AK235" s="227">
        <f t="shared" ca="1" si="83"/>
        <v>0.8604086134612029</v>
      </c>
      <c r="AL235" s="227">
        <f t="shared" ca="1" si="83"/>
        <v>0.87988176449425914</v>
      </c>
      <c r="AM235" s="227">
        <f t="shared" ca="1" si="83"/>
        <v>0.97841344083861792</v>
      </c>
      <c r="AN235" s="227">
        <f t="shared" ca="1" si="83"/>
        <v>1.0820441119098416</v>
      </c>
      <c r="AO235" s="227">
        <f t="shared" ca="1" si="83"/>
        <v>1.2833566268709513</v>
      </c>
      <c r="AP235" s="227">
        <f t="shared" ca="1" si="83"/>
        <v>1.4855189742865313</v>
      </c>
    </row>
    <row r="236" spans="1:42">
      <c r="A236" s="61" t="str">
        <f>'[5]TS BYDem'!A175</f>
        <v/>
      </c>
      <c r="B236" s="227" t="s">
        <v>295</v>
      </c>
      <c r="C236" s="227" t="s">
        <v>138</v>
      </c>
      <c r="D236" s="227" t="str">
        <f>'[5]TS BYDem'!D175</f>
        <v>IOTC</v>
      </c>
      <c r="E236" s="227" t="s">
        <v>138</v>
      </c>
      <c r="F236" s="227" t="s">
        <v>138</v>
      </c>
      <c r="G236" s="227" t="s">
        <v>138</v>
      </c>
      <c r="H236" s="227" t="s">
        <v>138</v>
      </c>
      <c r="I236" s="227">
        <v>0</v>
      </c>
      <c r="J236" s="227">
        <f>INDEX('[5]TS BYDem'!$J$10:$J$203,MATCH(D236,'[5]TS BYDem'!$D$10:$D$203,0))</f>
        <v>4.2868722274366169</v>
      </c>
      <c r="K236" s="227">
        <f t="shared" ca="1" si="82"/>
        <v>4.3525110438901793</v>
      </c>
      <c r="L236" s="227">
        <f t="shared" ca="1" si="82"/>
        <v>4.4181498603437408</v>
      </c>
      <c r="M236" s="234">
        <f t="shared" si="84"/>
        <v>2.3241024000000006</v>
      </c>
      <c r="N236" s="234">
        <f t="shared" si="85"/>
        <v>2.3241024000000006</v>
      </c>
      <c r="O236" s="234">
        <f>INDEX('[5]TS BYDem'!$O$10:$O$203,MATCH(D236,'[5]TS BYDem'!$D$10:$D$203,0))</f>
        <v>2.3241024000000006</v>
      </c>
      <c r="P236" s="227">
        <f t="shared" ca="1" si="82"/>
        <v>2.3400807545654643</v>
      </c>
      <c r="Q236" s="227">
        <f t="shared" ca="1" si="82"/>
        <v>2.356059109130928</v>
      </c>
      <c r="R236" s="227">
        <f t="shared" ca="1" si="82"/>
        <v>2.3720374636963921</v>
      </c>
      <c r="S236" s="227">
        <f t="shared" ca="1" si="82"/>
        <v>2.4216045615528694</v>
      </c>
      <c r="T236" s="227">
        <f t="shared" ca="1" si="82"/>
        <v>2.4711716594093467</v>
      </c>
      <c r="U236" s="227">
        <f t="shared" ca="1" si="82"/>
        <v>2.520738757265824</v>
      </c>
      <c r="V236" s="227">
        <f t="shared" ca="1" si="82"/>
        <v>2.5703058551223008</v>
      </c>
      <c r="W236" s="227">
        <f t="shared" ca="1" si="82"/>
        <v>2.6198729529787772</v>
      </c>
      <c r="X236" s="227">
        <f t="shared" ca="1" si="82"/>
        <v>2.6876325150681284</v>
      </c>
      <c r="Y236" s="227">
        <f t="shared" ca="1" si="82"/>
        <v>2.75539207715748</v>
      </c>
      <c r="Z236" s="227">
        <f t="shared" ca="1" si="82"/>
        <v>2.8231516392468312</v>
      </c>
      <c r="AA236" s="227">
        <f t="shared" ca="1" si="83"/>
        <v>2.8909112013361824</v>
      </c>
      <c r="AB236" s="227">
        <f t="shared" ca="1" si="83"/>
        <v>2.9586707634255349</v>
      </c>
      <c r="AC236" s="227">
        <f t="shared" ca="1" si="83"/>
        <v>3.0314772613725536</v>
      </c>
      <c r="AD236" s="227">
        <f t="shared" ca="1" si="83"/>
        <v>3.1042837593195722</v>
      </c>
      <c r="AE236" s="227">
        <f t="shared" ca="1" si="83"/>
        <v>3.1770902572665909</v>
      </c>
      <c r="AF236" s="227">
        <f t="shared" ca="1" si="83"/>
        <v>3.24989675521361</v>
      </c>
      <c r="AG236" s="227">
        <f t="shared" ca="1" si="83"/>
        <v>3.3227032531606291</v>
      </c>
      <c r="AH236" s="227">
        <f t="shared" ca="1" si="83"/>
        <v>3.4053897432968623</v>
      </c>
      <c r="AI236" s="227">
        <f t="shared" ca="1" si="83"/>
        <v>3.4880762334330955</v>
      </c>
      <c r="AJ236" s="227">
        <f t="shared" ca="1" si="83"/>
        <v>3.5707627235693287</v>
      </c>
      <c r="AK236" s="227">
        <f t="shared" ca="1" si="83"/>
        <v>3.6534492137055623</v>
      </c>
      <c r="AL236" s="227">
        <f t="shared" ca="1" si="83"/>
        <v>3.7361357038417946</v>
      </c>
      <c r="AM236" s="227">
        <f t="shared" ca="1" si="83"/>
        <v>4.1545188648579066</v>
      </c>
      <c r="AN236" s="227">
        <f t="shared" ca="1" si="83"/>
        <v>4.5945532715543873</v>
      </c>
      <c r="AO236" s="227">
        <f t="shared" ca="1" si="83"/>
        <v>5.4493622983202723</v>
      </c>
      <c r="AP236" s="227">
        <f t="shared" ca="1" si="83"/>
        <v>6.3077798660328552</v>
      </c>
    </row>
    <row r="237" spans="1:42">
      <c r="A237" s="61" t="str">
        <f>'[5]TS BYDem'!A176</f>
        <v/>
      </c>
      <c r="B237" s="227" t="s">
        <v>295</v>
      </c>
      <c r="C237" s="227" t="s">
        <v>138</v>
      </c>
      <c r="D237" s="227" t="str">
        <f>'[5]TS BYDem'!D176</f>
        <v>IOTH</v>
      </c>
      <c r="E237" s="227" t="s">
        <v>138</v>
      </c>
      <c r="F237" s="227" t="s">
        <v>138</v>
      </c>
      <c r="G237" s="227" t="s">
        <v>138</v>
      </c>
      <c r="H237" s="227" t="s">
        <v>138</v>
      </c>
      <c r="I237" s="227">
        <v>0</v>
      </c>
      <c r="J237" s="227">
        <f>INDEX('[5]TS BYDem'!$J$10:$J$203,MATCH(D237,'[5]TS BYDem'!$D$10:$D$203,0))</f>
        <v>3.1863804172999206</v>
      </c>
      <c r="K237" s="227">
        <f t="shared" ca="1" si="82"/>
        <v>3.2351689578175926</v>
      </c>
      <c r="L237" s="227">
        <f t="shared" ca="1" si="82"/>
        <v>3.2839574983352642</v>
      </c>
      <c r="M237" s="234">
        <f t="shared" si="84"/>
        <v>1.7274772800000002</v>
      </c>
      <c r="N237" s="234">
        <f t="shared" si="85"/>
        <v>1.7274772800000002</v>
      </c>
      <c r="O237" s="234">
        <f>INDEX('[5]TS BYDem'!$O$10:$O$203,MATCH(D237,'[5]TS BYDem'!$D$10:$D$203,0))</f>
        <v>1.7274772800000002</v>
      </c>
      <c r="P237" s="227">
        <f t="shared" ca="1" si="82"/>
        <v>1.739353798213493</v>
      </c>
      <c r="Q237" s="227">
        <f t="shared" ca="1" si="82"/>
        <v>1.751230316426986</v>
      </c>
      <c r="R237" s="227">
        <f t="shared" ca="1" si="82"/>
        <v>1.7631068346404795</v>
      </c>
      <c r="S237" s="227">
        <f t="shared" ca="1" si="82"/>
        <v>1.7999494605861355</v>
      </c>
      <c r="T237" s="227">
        <f t="shared" ca="1" si="82"/>
        <v>1.8367920865317915</v>
      </c>
      <c r="U237" s="227">
        <f t="shared" ca="1" si="82"/>
        <v>1.8736347124774473</v>
      </c>
      <c r="V237" s="227">
        <f t="shared" ca="1" si="82"/>
        <v>1.9104773384231031</v>
      </c>
      <c r="W237" s="227">
        <f t="shared" ca="1" si="82"/>
        <v>1.9473199643687584</v>
      </c>
      <c r="X237" s="227">
        <f t="shared" ca="1" si="82"/>
        <v>1.9976848295365339</v>
      </c>
      <c r="Y237" s="227">
        <f t="shared" ca="1" si="82"/>
        <v>2.0480496947043094</v>
      </c>
      <c r="Z237" s="227">
        <f t="shared" ca="1" si="82"/>
        <v>2.0984145598720847</v>
      </c>
      <c r="AA237" s="227">
        <f t="shared" ca="1" si="83"/>
        <v>2.1487794250398604</v>
      </c>
      <c r="AB237" s="227">
        <f t="shared" ca="1" si="83"/>
        <v>2.199144290207637</v>
      </c>
      <c r="AC237" s="227">
        <f t="shared" ca="1" si="83"/>
        <v>2.2532604819209805</v>
      </c>
      <c r="AD237" s="227">
        <f t="shared" ca="1" si="83"/>
        <v>2.307376673634324</v>
      </c>
      <c r="AE237" s="227">
        <f t="shared" ca="1" si="83"/>
        <v>2.3614928653476674</v>
      </c>
      <c r="AF237" s="227">
        <f t="shared" ca="1" si="83"/>
        <v>2.4156090570610109</v>
      </c>
      <c r="AG237" s="227">
        <f t="shared" ca="1" si="83"/>
        <v>2.4697252487743544</v>
      </c>
      <c r="AH237" s="227">
        <f t="shared" ca="1" si="83"/>
        <v>2.5311851195069379</v>
      </c>
      <c r="AI237" s="227">
        <f t="shared" ca="1" si="83"/>
        <v>2.5926449902395214</v>
      </c>
      <c r="AJ237" s="227">
        <f t="shared" ca="1" si="83"/>
        <v>2.654104860972105</v>
      </c>
      <c r="AK237" s="227">
        <f t="shared" ca="1" si="83"/>
        <v>2.7155647317046885</v>
      </c>
      <c r="AL237" s="227">
        <f t="shared" ca="1" si="83"/>
        <v>2.7770246024372711</v>
      </c>
      <c r="AM237" s="227">
        <f t="shared" ca="1" si="83"/>
        <v>3.0880037593754146</v>
      </c>
      <c r="AN237" s="227">
        <f t="shared" ca="1" si="83"/>
        <v>3.4150760260648902</v>
      </c>
      <c r="AO237" s="227">
        <f t="shared" ca="1" si="83"/>
        <v>4.0504452647339688</v>
      </c>
      <c r="AP237" s="227">
        <f t="shared" ca="1" si="83"/>
        <v>4.6884966883615808</v>
      </c>
    </row>
    <row r="238" spans="1:42">
      <c r="A238" s="61" t="str">
        <f>'[5]TS BYDem'!A177</f>
        <v/>
      </c>
      <c r="B238" s="227" t="s">
        <v>295</v>
      </c>
      <c r="C238" s="227" t="s">
        <v>138</v>
      </c>
      <c r="D238" s="227" t="str">
        <f>'[5]TS BYDem'!D177</f>
        <v>IOTP</v>
      </c>
      <c r="E238" s="227" t="s">
        <v>138</v>
      </c>
      <c r="F238" s="227" t="s">
        <v>138</v>
      </c>
      <c r="G238" s="227" t="s">
        <v>138</v>
      </c>
      <c r="H238" s="227" t="s">
        <v>138</v>
      </c>
      <c r="I238" s="227">
        <v>0</v>
      </c>
      <c r="J238" s="227">
        <f>INDEX('[5]TS BYDem'!$J$10:$J$203,MATCH(D238,'[5]TS BYDem'!$D$10:$D$203,0))</f>
        <v>4.3369135374845138</v>
      </c>
      <c r="K238" s="227">
        <f t="shared" ca="1" si="82"/>
        <v>4.4033185658032927</v>
      </c>
      <c r="L238" s="227">
        <f t="shared" ca="1" si="82"/>
        <v>4.4697235941220708</v>
      </c>
      <c r="M238" s="234">
        <f t="shared" si="84"/>
        <v>2.3512320000000004</v>
      </c>
      <c r="N238" s="234">
        <f t="shared" si="85"/>
        <v>2.3512320000000004</v>
      </c>
      <c r="O238" s="234">
        <f>INDEX('[5]TS BYDem'!$O$10:$O$203,MATCH(D238,'[5]TS BYDem'!$D$10:$D$203,0))</f>
        <v>2.3512320000000004</v>
      </c>
      <c r="P238" s="227">
        <f t="shared" ca="1" si="82"/>
        <v>2.3673968723230376</v>
      </c>
      <c r="Q238" s="227">
        <f t="shared" ca="1" si="82"/>
        <v>2.3835617446460748</v>
      </c>
      <c r="R238" s="227">
        <f t="shared" ca="1" si="82"/>
        <v>2.3997266169691125</v>
      </c>
      <c r="S238" s="227">
        <f t="shared" ca="1" si="82"/>
        <v>2.4498723190807237</v>
      </c>
      <c r="T238" s="227">
        <f t="shared" ca="1" si="82"/>
        <v>2.5000180211923348</v>
      </c>
      <c r="U238" s="227">
        <f t="shared" ca="1" si="82"/>
        <v>2.550163723303946</v>
      </c>
      <c r="V238" s="227">
        <f t="shared" ca="1" si="82"/>
        <v>2.6003094254155572</v>
      </c>
      <c r="W238" s="227">
        <f t="shared" ca="1" si="82"/>
        <v>2.6504551275271679</v>
      </c>
      <c r="X238" s="227">
        <f t="shared" ca="1" si="82"/>
        <v>2.7190056572673678</v>
      </c>
      <c r="Y238" s="227">
        <f t="shared" ca="1" si="82"/>
        <v>2.7875561870075676</v>
      </c>
      <c r="Z238" s="227">
        <f t="shared" ca="1" si="82"/>
        <v>2.8561067167477669</v>
      </c>
      <c r="AA238" s="227">
        <f t="shared" ca="1" si="83"/>
        <v>2.9246572464879668</v>
      </c>
      <c r="AB238" s="227">
        <f t="shared" ca="1" si="83"/>
        <v>2.9932077762281679</v>
      </c>
      <c r="AC238" s="227">
        <f t="shared" ca="1" si="83"/>
        <v>3.0668641554741791</v>
      </c>
      <c r="AD238" s="227">
        <f t="shared" ca="1" si="83"/>
        <v>3.1405205347201903</v>
      </c>
      <c r="AE238" s="227">
        <f t="shared" ca="1" si="83"/>
        <v>3.2141769139662015</v>
      </c>
      <c r="AF238" s="227">
        <f t="shared" ca="1" si="83"/>
        <v>3.2878332932122132</v>
      </c>
      <c r="AG238" s="227">
        <f t="shared" ca="1" si="83"/>
        <v>3.3614896724582248</v>
      </c>
      <c r="AH238" s="227">
        <f t="shared" ca="1" si="83"/>
        <v>3.4451413745415738</v>
      </c>
      <c r="AI238" s="227">
        <f t="shared" ca="1" si="83"/>
        <v>3.5287930766249227</v>
      </c>
      <c r="AJ238" s="227">
        <f t="shared" ca="1" si="83"/>
        <v>3.6124447787082716</v>
      </c>
      <c r="AK238" s="227">
        <f t="shared" ca="1" si="83"/>
        <v>3.6960964807916206</v>
      </c>
      <c r="AL238" s="227">
        <f t="shared" ca="1" si="83"/>
        <v>3.7797481828749686</v>
      </c>
      <c r="AM238" s="227">
        <f t="shared" ca="1" si="83"/>
        <v>4.2030151940196738</v>
      </c>
      <c r="AN238" s="227">
        <f t="shared" ca="1" si="83"/>
        <v>4.648186189121172</v>
      </c>
      <c r="AO238" s="227">
        <f t="shared" ca="1" si="83"/>
        <v>5.5129735313745973</v>
      </c>
      <c r="AP238" s="227">
        <f t="shared" ca="1" si="83"/>
        <v>6.3814115376207905</v>
      </c>
    </row>
    <row r="239" spans="1:42">
      <c r="A239" s="61" t="str">
        <f>'[5]TS BYDem'!A178</f>
        <v/>
      </c>
      <c r="B239" s="227" t="s">
        <v>295</v>
      </c>
      <c r="C239" s="227" t="s">
        <v>138</v>
      </c>
      <c r="D239" s="227" t="str">
        <f>'[5]TS BYDem'!D178</f>
        <v>IOTF</v>
      </c>
      <c r="E239" s="227" t="s">
        <v>138</v>
      </c>
      <c r="F239" s="227" t="s">
        <v>138</v>
      </c>
      <c r="G239" s="227" t="s">
        <v>138</v>
      </c>
      <c r="H239" s="227" t="s">
        <v>138</v>
      </c>
      <c r="I239" s="227">
        <v>0</v>
      </c>
      <c r="J239" s="227">
        <f>INDEX('[5]TS BYDem'!$J$10:$J$203,MATCH(D239,'[5]TS BYDem'!$D$10:$D$203,0))</f>
        <v>1.8465243407674456</v>
      </c>
      <c r="K239" s="227">
        <f t="shared" ca="1" si="82"/>
        <v>1.8747975585939411</v>
      </c>
      <c r="L239" s="227">
        <f t="shared" ca="1" si="82"/>
        <v>1.9030707764204364</v>
      </c>
      <c r="M239" s="234">
        <f t="shared" si="84"/>
        <v>1.0010822400000001</v>
      </c>
      <c r="N239" s="234">
        <f t="shared" si="85"/>
        <v>1.0010822400000001</v>
      </c>
      <c r="O239" s="234">
        <f>INDEX('[5]TS BYDem'!$O$10:$O$203,MATCH(D239,'[5]TS BYDem'!$D$10:$D$203,0))</f>
        <v>1.0010822400000001</v>
      </c>
      <c r="P239" s="227">
        <f t="shared" ca="1" si="82"/>
        <v>1.0079647452544624</v>
      </c>
      <c r="Q239" s="227">
        <f t="shared" ca="1" si="82"/>
        <v>1.0148472505089248</v>
      </c>
      <c r="R239" s="227">
        <f t="shared" ca="1" si="82"/>
        <v>1.0217297557633873</v>
      </c>
      <c r="S239" s="227">
        <f t="shared" ca="1" si="82"/>
        <v>1.0430802527778311</v>
      </c>
      <c r="T239" s="227">
        <f t="shared" ca="1" si="82"/>
        <v>1.0644307497922749</v>
      </c>
      <c r="U239" s="227">
        <f t="shared" ca="1" si="82"/>
        <v>1.0857812468067185</v>
      </c>
      <c r="V239" s="227">
        <f t="shared" ca="1" si="82"/>
        <v>1.1071317438211621</v>
      </c>
      <c r="W239" s="227">
        <f t="shared" ca="1" si="82"/>
        <v>1.1284822408356054</v>
      </c>
      <c r="X239" s="227">
        <f t="shared" ca="1" si="82"/>
        <v>1.1576689471519135</v>
      </c>
      <c r="Y239" s="227">
        <f t="shared" ca="1" si="82"/>
        <v>1.1868556534682217</v>
      </c>
      <c r="Z239" s="227">
        <f t="shared" ca="1" si="82"/>
        <v>1.2160423597845298</v>
      </c>
      <c r="AA239" s="227">
        <f t="shared" ca="1" si="83"/>
        <v>1.2452290661008378</v>
      </c>
      <c r="AB239" s="227">
        <f t="shared" ca="1" si="83"/>
        <v>1.2744157724171465</v>
      </c>
      <c r="AC239" s="227">
        <f t="shared" ca="1" si="83"/>
        <v>1.3057763923499675</v>
      </c>
      <c r="AD239" s="227">
        <f t="shared" ca="1" si="83"/>
        <v>1.3371370122827884</v>
      </c>
      <c r="AE239" s="227">
        <f t="shared" ca="1" si="83"/>
        <v>1.3684976322156093</v>
      </c>
      <c r="AF239" s="227">
        <f t="shared" ca="1" si="83"/>
        <v>1.3998582521484304</v>
      </c>
      <c r="AG239" s="227">
        <f t="shared" ca="1" si="83"/>
        <v>1.4312188720812515</v>
      </c>
      <c r="AH239" s="227">
        <f t="shared" ca="1" si="83"/>
        <v>1.4668351929298158</v>
      </c>
      <c r="AI239" s="227">
        <f t="shared" ca="1" si="83"/>
        <v>1.50245151377838</v>
      </c>
      <c r="AJ239" s="227">
        <f t="shared" ca="1" si="83"/>
        <v>1.5380678346269443</v>
      </c>
      <c r="AK239" s="227">
        <f t="shared" ca="1" si="83"/>
        <v>1.5736841554755088</v>
      </c>
      <c r="AL239" s="227">
        <f t="shared" ca="1" si="83"/>
        <v>1.6093004763240726</v>
      </c>
      <c r="AM239" s="227">
        <f t="shared" ca="1" si="83"/>
        <v>1.7895145460691451</v>
      </c>
      <c r="AN239" s="227">
        <f t="shared" ca="1" si="83"/>
        <v>1.9790546582142827</v>
      </c>
      <c r="AO239" s="227">
        <f t="shared" ca="1" si="83"/>
        <v>2.3472544997044906</v>
      </c>
      <c r="AP239" s="227">
        <f t="shared" ca="1" si="83"/>
        <v>2.7170086815946966</v>
      </c>
    </row>
    <row r="240" spans="1:42">
      <c r="A240" s="61" t="str">
        <f>'[5]TS BYDem'!A179</f>
        <v/>
      </c>
      <c r="B240" s="227" t="s">
        <v>295</v>
      </c>
      <c r="C240" s="227" t="s">
        <v>138</v>
      </c>
      <c r="D240" s="227" t="str">
        <f>'[5]TS BYDem'!D179</f>
        <v>IOTO</v>
      </c>
      <c r="E240" s="227" t="s">
        <v>138</v>
      </c>
      <c r="F240" s="227" t="s">
        <v>138</v>
      </c>
      <c r="G240" s="227" t="s">
        <v>138</v>
      </c>
      <c r="H240" s="227" t="s">
        <v>138</v>
      </c>
      <c r="I240" s="227">
        <v>0</v>
      </c>
      <c r="J240" s="227">
        <f>INDEX('[5]TS BYDem'!$J$10:$J$203,MATCH(D240,'[5]TS BYDem'!$D$10:$D$203,0))</f>
        <v>12.304490923310874</v>
      </c>
      <c r="K240" s="227">
        <f t="shared" ca="1" si="82"/>
        <v>12.492892204809452</v>
      </c>
      <c r="L240" s="227">
        <f t="shared" ca="1" si="82"/>
        <v>12.68129348630803</v>
      </c>
      <c r="M240" s="234">
        <f t="shared" si="84"/>
        <v>6.6708069120000006</v>
      </c>
      <c r="N240" s="234">
        <f t="shared" si="85"/>
        <v>6.6708069120000006</v>
      </c>
      <c r="O240" s="234">
        <f>INDEX('[5]TS BYDem'!$O$10:$O$203,MATCH(D240,'[5]TS BYDem'!$D$10:$D$203,0))</f>
        <v>6.6708069120000006</v>
      </c>
      <c r="P240" s="227">
        <f t="shared" ca="1" si="82"/>
        <v>6.7166691416838908</v>
      </c>
      <c r="Q240" s="227">
        <f t="shared" ca="1" si="82"/>
        <v>6.7625313713677819</v>
      </c>
      <c r="R240" s="227">
        <f t="shared" ca="1" si="82"/>
        <v>6.8083936010516739</v>
      </c>
      <c r="S240" s="227">
        <f t="shared" ca="1" si="82"/>
        <v>6.9506646726657166</v>
      </c>
      <c r="T240" s="227">
        <f t="shared" ca="1" si="82"/>
        <v>7.0929357442797603</v>
      </c>
      <c r="U240" s="227">
        <f t="shared" ca="1" si="82"/>
        <v>7.235206815893803</v>
      </c>
      <c r="V240" s="227">
        <f t="shared" ca="1" si="82"/>
        <v>7.3774778875078448</v>
      </c>
      <c r="W240" s="227">
        <f t="shared" ca="1" si="82"/>
        <v>7.5197489591218858</v>
      </c>
      <c r="X240" s="227">
        <f t="shared" ca="1" si="82"/>
        <v>7.7142373582301769</v>
      </c>
      <c r="Y240" s="227">
        <f t="shared" ca="1" si="82"/>
        <v>7.9087257573384688</v>
      </c>
      <c r="Z240" s="227">
        <f t="shared" ca="1" si="82"/>
        <v>8.103214156446759</v>
      </c>
      <c r="AA240" s="227">
        <f t="shared" ca="1" si="83"/>
        <v>8.2977025555550501</v>
      </c>
      <c r="AB240" s="227">
        <f t="shared" ca="1" si="83"/>
        <v>8.4921909546633447</v>
      </c>
      <c r="AC240" s="227">
        <f t="shared" ca="1" si="83"/>
        <v>8.7011654343349321</v>
      </c>
      <c r="AD240" s="227">
        <f t="shared" ca="1" si="83"/>
        <v>8.9101399140065194</v>
      </c>
      <c r="AE240" s="227">
        <f t="shared" ca="1" si="83"/>
        <v>9.1191143936781067</v>
      </c>
      <c r="AF240" s="227">
        <f t="shared" ca="1" si="83"/>
        <v>9.3280888733496941</v>
      </c>
      <c r="AG240" s="227">
        <f t="shared" ca="1" si="83"/>
        <v>9.5370633530212814</v>
      </c>
      <c r="AH240" s="227">
        <f t="shared" ca="1" si="83"/>
        <v>9.7743961013243705</v>
      </c>
      <c r="AI240" s="227">
        <f t="shared" ca="1" si="83"/>
        <v>10.01172884962746</v>
      </c>
      <c r="AJ240" s="227">
        <f t="shared" ca="1" si="83"/>
        <v>10.249061597930549</v>
      </c>
      <c r="AK240" s="227">
        <f t="shared" ca="1" si="83"/>
        <v>10.486394346233638</v>
      </c>
      <c r="AL240" s="227">
        <f t="shared" ca="1" si="83"/>
        <v>10.723727094536724</v>
      </c>
      <c r="AM240" s="227">
        <f t="shared" ca="1" si="83"/>
        <v>11.924600723155967</v>
      </c>
      <c r="AN240" s="227">
        <f t="shared" ca="1" si="83"/>
        <v>13.187619324104316</v>
      </c>
      <c r="AO240" s="227">
        <f t="shared" ca="1" si="83"/>
        <v>15.641154058283782</v>
      </c>
      <c r="AP240" s="227">
        <f t="shared" ca="1" si="83"/>
        <v>18.105046287851344</v>
      </c>
    </row>
    <row r="241" spans="1:42">
      <c r="A241" s="61" t="str">
        <f>'[5]TS BYDem'!A180</f>
        <v/>
      </c>
      <c r="B241" s="227" t="s">
        <v>295</v>
      </c>
      <c r="C241" s="227" t="s">
        <v>138</v>
      </c>
      <c r="D241" s="227" t="str">
        <f>'[5]TS BYDem'!D180</f>
        <v>IOTE</v>
      </c>
      <c r="E241" s="227" t="s">
        <v>138</v>
      </c>
      <c r="F241" s="227" t="s">
        <v>138</v>
      </c>
      <c r="G241" s="227" t="s">
        <v>138</v>
      </c>
      <c r="H241" s="227" t="s">
        <v>138</v>
      </c>
      <c r="I241" s="227">
        <v>0</v>
      </c>
      <c r="J241" s="227">
        <f>INDEX('[5]TS BYDem'!$J$10:$J$203,MATCH(D241,'[5]TS BYDem'!$D$10:$D$203,0))</f>
        <v>0.41264064265496897</v>
      </c>
      <c r="K241" s="227">
        <f t="shared" ca="1" si="82"/>
        <v>0.41895882569554571</v>
      </c>
      <c r="L241" s="227">
        <f t="shared" ca="1" si="82"/>
        <v>0.4252770087361224</v>
      </c>
      <c r="M241" s="234">
        <f t="shared" si="84"/>
        <v>0.22371068160000002</v>
      </c>
      <c r="N241" s="234">
        <f t="shared" si="85"/>
        <v>0.22371068160000002</v>
      </c>
      <c r="O241" s="234">
        <f>INDEX('[5]TS BYDem'!$O$10:$O$203,MATCH(D241,'[5]TS BYDem'!$D$10:$D$203,0))</f>
        <v>0.22371068160000002</v>
      </c>
      <c r="P241" s="227">
        <f t="shared" ca="1" si="82"/>
        <v>0.22524870702895114</v>
      </c>
      <c r="Q241" s="227">
        <f t="shared" ca="1" si="82"/>
        <v>0.22678673245790226</v>
      </c>
      <c r="R241" s="227">
        <f t="shared" ca="1" si="82"/>
        <v>0.22832475788685344</v>
      </c>
      <c r="S241" s="227">
        <f t="shared" ca="1" si="82"/>
        <v>0.23309592857468822</v>
      </c>
      <c r="T241" s="227">
        <f t="shared" ca="1" si="82"/>
        <v>0.237867099262523</v>
      </c>
      <c r="U241" s="227">
        <f t="shared" ca="1" si="82"/>
        <v>0.24263826995035775</v>
      </c>
      <c r="V241" s="227">
        <f t="shared" ca="1" si="82"/>
        <v>0.24740944063819251</v>
      </c>
      <c r="W241" s="227">
        <f t="shared" ca="1" si="82"/>
        <v>0.2521806113260272</v>
      </c>
      <c r="X241" s="227">
        <f t="shared" ca="1" si="82"/>
        <v>0.25870293057492361</v>
      </c>
      <c r="Y241" s="227">
        <f t="shared" ca="1" si="82"/>
        <v>0.26522524982382001</v>
      </c>
      <c r="Z241" s="227">
        <f t="shared" ca="1" si="82"/>
        <v>0.27174756907271636</v>
      </c>
      <c r="AA241" s="227">
        <f t="shared" ca="1" si="83"/>
        <v>0.27826988832161276</v>
      </c>
      <c r="AB241" s="227">
        <f t="shared" ca="1" si="83"/>
        <v>0.28479220757050927</v>
      </c>
      <c r="AC241" s="227">
        <f t="shared" ca="1" si="83"/>
        <v>0.2918003287620009</v>
      </c>
      <c r="AD241" s="227">
        <f t="shared" ca="1" si="83"/>
        <v>0.29880844995349254</v>
      </c>
      <c r="AE241" s="227">
        <f t="shared" ca="1" si="83"/>
        <v>0.30581657114498417</v>
      </c>
      <c r="AF241" s="227">
        <f t="shared" ca="1" si="83"/>
        <v>0.31282469233647586</v>
      </c>
      <c r="AG241" s="227">
        <f t="shared" ca="1" si="83"/>
        <v>0.31983281352796755</v>
      </c>
      <c r="AH241" s="227">
        <f t="shared" ca="1" si="83"/>
        <v>0.3277919512438825</v>
      </c>
      <c r="AI241" s="227">
        <f t="shared" ca="1" si="83"/>
        <v>0.33575108895979744</v>
      </c>
      <c r="AJ241" s="227">
        <f t="shared" ca="1" si="83"/>
        <v>0.34371022667571238</v>
      </c>
      <c r="AK241" s="227">
        <f t="shared" ca="1" si="83"/>
        <v>0.35166936439162733</v>
      </c>
      <c r="AL241" s="227">
        <f t="shared" ca="1" si="83"/>
        <v>0.35962850210754216</v>
      </c>
      <c r="AM241" s="227">
        <f t="shared" ca="1" si="83"/>
        <v>0.399900730267918</v>
      </c>
      <c r="AN241" s="227">
        <f t="shared" ca="1" si="83"/>
        <v>0.44225703825569052</v>
      </c>
      <c r="AO241" s="227">
        <f t="shared" ca="1" si="83"/>
        <v>0.52453822776594139</v>
      </c>
      <c r="AP241" s="227">
        <f t="shared" ca="1" si="83"/>
        <v>0.60716676391408886</v>
      </c>
    </row>
    <row r="242" spans="1:42">
      <c r="A242" s="61" t="str">
        <f>'[5]TS BYDem'!A181</f>
        <v>*</v>
      </c>
      <c r="B242" s="227" t="s">
        <v>295</v>
      </c>
      <c r="C242" s="227" t="s">
        <v>138</v>
      </c>
      <c r="D242" s="227" t="str">
        <f>'[5]TS BYDem'!D181</f>
        <v xml:space="preserve"> </v>
      </c>
      <c r="E242" s="227" t="s">
        <v>138</v>
      </c>
      <c r="F242" s="227" t="s">
        <v>138</v>
      </c>
      <c r="G242" s="227" t="s">
        <v>138</v>
      </c>
      <c r="H242" s="227" t="s">
        <v>138</v>
      </c>
      <c r="I242" s="227">
        <v>0</v>
      </c>
      <c r="J242" s="227" t="str">
        <f>INDEX('[5]TS BYDem'!$J$10:$J$203,MATCH(D242,'[5]TS BYDem'!$D$10:$D$203,0))</f>
        <v/>
      </c>
      <c r="K242" s="227" t="e">
        <f t="shared" ca="1" si="82"/>
        <v>#VALUE!</v>
      </c>
      <c r="L242" s="227" t="e">
        <f t="shared" ca="1" si="82"/>
        <v>#VALUE!</v>
      </c>
      <c r="M242" s="227" t="e">
        <f t="shared" ca="1" si="82"/>
        <v>#VALUE!</v>
      </c>
      <c r="N242" s="227" t="e">
        <f t="shared" ca="1" si="82"/>
        <v>#VALUE!</v>
      </c>
      <c r="O242" s="227" t="e">
        <f t="shared" ca="1" si="82"/>
        <v>#VALUE!</v>
      </c>
      <c r="P242" s="227" t="e">
        <f t="shared" ca="1" si="82"/>
        <v>#VALUE!</v>
      </c>
      <c r="Q242" s="227" t="e">
        <f t="shared" ca="1" si="82"/>
        <v>#VALUE!</v>
      </c>
      <c r="R242" s="227" t="e">
        <f t="shared" ca="1" si="82"/>
        <v>#VALUE!</v>
      </c>
      <c r="S242" s="227" t="e">
        <f t="shared" ca="1" si="82"/>
        <v>#VALUE!</v>
      </c>
      <c r="T242" s="227" t="e">
        <f t="shared" ca="1" si="82"/>
        <v>#VALUE!</v>
      </c>
      <c r="U242" s="227" t="e">
        <f t="shared" ca="1" si="82"/>
        <v>#VALUE!</v>
      </c>
      <c r="V242" s="227" t="e">
        <f t="shared" ca="1" si="82"/>
        <v>#VALUE!</v>
      </c>
      <c r="W242" s="227" t="e">
        <f t="shared" ca="1" si="82"/>
        <v>#VALUE!</v>
      </c>
      <c r="X242" s="227" t="e">
        <f t="shared" ca="1" si="82"/>
        <v>#VALUE!</v>
      </c>
      <c r="Y242" s="227" t="e">
        <f t="shared" ca="1" si="82"/>
        <v>#VALUE!</v>
      </c>
      <c r="Z242" s="227" t="e">
        <f t="shared" ca="1" si="82"/>
        <v>#VALUE!</v>
      </c>
      <c r="AA242" s="227" t="e">
        <f t="shared" ca="1" si="83"/>
        <v>#VALUE!</v>
      </c>
      <c r="AB242" s="227" t="e">
        <f t="shared" ca="1" si="83"/>
        <v>#VALUE!</v>
      </c>
      <c r="AC242" s="227" t="e">
        <f t="shared" ca="1" si="83"/>
        <v>#VALUE!</v>
      </c>
      <c r="AD242" s="227" t="e">
        <f t="shared" ca="1" si="83"/>
        <v>#VALUE!</v>
      </c>
      <c r="AE242" s="227" t="e">
        <f t="shared" ca="1" si="83"/>
        <v>#VALUE!</v>
      </c>
      <c r="AF242" s="227" t="e">
        <f t="shared" ca="1" si="83"/>
        <v>#VALUE!</v>
      </c>
      <c r="AG242" s="227" t="e">
        <f t="shared" ca="1" si="83"/>
        <v>#VALUE!</v>
      </c>
      <c r="AH242" s="227" t="e">
        <f t="shared" ca="1" si="83"/>
        <v>#VALUE!</v>
      </c>
      <c r="AI242" s="227" t="e">
        <f t="shared" ca="1" si="83"/>
        <v>#VALUE!</v>
      </c>
      <c r="AJ242" s="227" t="e">
        <f t="shared" ca="1" si="83"/>
        <v>#VALUE!</v>
      </c>
      <c r="AK242" s="227" t="e">
        <f t="shared" ca="1" si="83"/>
        <v>#VALUE!</v>
      </c>
      <c r="AL242" s="227" t="e">
        <f t="shared" ca="1" si="83"/>
        <v>#VALUE!</v>
      </c>
      <c r="AM242" s="227" t="e">
        <f t="shared" ca="1" si="83"/>
        <v>#VALUE!</v>
      </c>
      <c r="AN242" s="227" t="e">
        <f t="shared" ca="1" si="83"/>
        <v>#VALUE!</v>
      </c>
      <c r="AO242" s="227" t="e">
        <f t="shared" ca="1" si="83"/>
        <v>#VALUE!</v>
      </c>
      <c r="AP242" s="227" t="e">
        <f t="shared" ca="1" si="83"/>
        <v>#VALUE!</v>
      </c>
    </row>
    <row r="243" spans="1:42">
      <c r="A243" s="61" t="str">
        <f>'[5]TS BYDem'!A182</f>
        <v/>
      </c>
      <c r="B243" s="227" t="s">
        <v>295</v>
      </c>
      <c r="C243" s="227" t="s">
        <v>138</v>
      </c>
      <c r="D243" s="227" t="str">
        <f>'[5]TS BYDem'!D182</f>
        <v>IOTS</v>
      </c>
      <c r="E243" s="227" t="s">
        <v>138</v>
      </c>
      <c r="F243" s="227" t="s">
        <v>138</v>
      </c>
      <c r="G243" s="227" t="s">
        <v>138</v>
      </c>
      <c r="H243" s="227" t="s">
        <v>138</v>
      </c>
      <c r="I243" s="227">
        <v>0</v>
      </c>
      <c r="J243" s="227">
        <f>INDEX('[5]TS BYDem'!$J$10:$J$203,MATCH(D243,'[5]TS BYDem'!$D$10:$D$203,0))</f>
        <v>73.690487252999532</v>
      </c>
      <c r="K243" s="227">
        <f t="shared" ca="1" si="82"/>
        <v>74.818805549079357</v>
      </c>
      <c r="L243" s="227">
        <f t="shared" ca="1" si="82"/>
        <v>75.947123845159169</v>
      </c>
      <c r="M243" s="234">
        <f t="shared" ref="M243" si="86">O243</f>
        <v>61.561340800000004</v>
      </c>
      <c r="N243" s="234">
        <f t="shared" ref="N243" si="87">O243</f>
        <v>61.561340800000004</v>
      </c>
      <c r="O243" s="234">
        <f>INDEX('[5]TS BYDem'!$O$10:$O$203,MATCH(D243,'[5]TS BYDem'!$D$10:$D$203,0))</f>
        <v>61.561340800000004</v>
      </c>
      <c r="P243" s="227">
        <f t="shared" ca="1" si="82"/>
        <v>61.984579006211455</v>
      </c>
      <c r="Q243" s="227">
        <f t="shared" ca="1" si="82"/>
        <v>62.407817212422913</v>
      </c>
      <c r="R243" s="227">
        <f t="shared" ca="1" si="82"/>
        <v>62.831055418634385</v>
      </c>
      <c r="S243" s="227">
        <f t="shared" ca="1" si="82"/>
        <v>64.143999720748411</v>
      </c>
      <c r="T243" s="227">
        <f t="shared" ca="1" si="82"/>
        <v>65.456944022862444</v>
      </c>
      <c r="U243" s="227">
        <f t="shared" ca="1" si="82"/>
        <v>66.769888324976478</v>
      </c>
      <c r="V243" s="227">
        <f t="shared" ca="1" si="82"/>
        <v>68.082832627090497</v>
      </c>
      <c r="W243" s="227">
        <f t="shared" ca="1" si="82"/>
        <v>69.395776929204516</v>
      </c>
      <c r="X243" s="227">
        <f t="shared" ca="1" si="82"/>
        <v>71.190607266388156</v>
      </c>
      <c r="Y243" s="227">
        <f t="shared" ca="1" si="82"/>
        <v>72.985437603571796</v>
      </c>
      <c r="Z243" s="227">
        <f t="shared" ca="1" si="82"/>
        <v>74.780267940755436</v>
      </c>
      <c r="AA243" s="227">
        <f t="shared" ca="1" si="83"/>
        <v>76.575098277939077</v>
      </c>
      <c r="AB243" s="227">
        <f t="shared" ca="1" si="83"/>
        <v>78.369928615122745</v>
      </c>
      <c r="AC243" s="227">
        <f t="shared" ca="1" si="83"/>
        <v>80.298443310762195</v>
      </c>
      <c r="AD243" s="227">
        <f t="shared" ca="1" si="83"/>
        <v>82.226958006401645</v>
      </c>
      <c r="AE243" s="227">
        <f t="shared" ca="1" si="83"/>
        <v>84.155472702041095</v>
      </c>
      <c r="AF243" s="227">
        <f t="shared" ca="1" si="83"/>
        <v>86.083987397680559</v>
      </c>
      <c r="AG243" s="227">
        <f t="shared" ca="1" si="83"/>
        <v>88.012502093320023</v>
      </c>
      <c r="AH243" s="227">
        <f t="shared" ca="1" si="83"/>
        <v>90.202720217457966</v>
      </c>
      <c r="AI243" s="227">
        <f t="shared" ca="1" si="83"/>
        <v>92.392938341595908</v>
      </c>
      <c r="AJ243" s="227">
        <f t="shared" ca="1" si="83"/>
        <v>94.58315646573385</v>
      </c>
      <c r="AK243" s="227">
        <f t="shared" ca="1" si="83"/>
        <v>96.773374589871793</v>
      </c>
      <c r="AL243" s="227">
        <f t="shared" ca="1" si="83"/>
        <v>98.963592714009707</v>
      </c>
      <c r="AM243" s="227">
        <f t="shared" ca="1" si="83"/>
        <v>110.04581885012753</v>
      </c>
      <c r="AN243" s="227">
        <f t="shared" ca="1" si="83"/>
        <v>121.70154799285714</v>
      </c>
      <c r="AO243" s="227">
        <f t="shared" ca="1" si="83"/>
        <v>144.34391943726982</v>
      </c>
      <c r="AP243" s="227">
        <f t="shared" ca="1" si="83"/>
        <v>167.081874716117</v>
      </c>
    </row>
    <row r="244" spans="1:42">
      <c r="A244" s="61" t="str">
        <f>'[5]TS BYDem'!A183</f>
        <v>*</v>
      </c>
      <c r="B244" s="227" t="s">
        <v>295</v>
      </c>
      <c r="C244" s="227" t="s">
        <v>138</v>
      </c>
      <c r="D244" s="227" t="str">
        <f>'[5]TS BYDem'!D183</f>
        <v>IOTS</v>
      </c>
      <c r="E244" s="227" t="s">
        <v>138</v>
      </c>
      <c r="F244" s="227" t="s">
        <v>138</v>
      </c>
      <c r="G244" s="227" t="s">
        <v>138</v>
      </c>
      <c r="H244" s="227" t="s">
        <v>138</v>
      </c>
      <c r="I244" s="227">
        <v>0</v>
      </c>
      <c r="J244" s="227">
        <f>INDEX('[5]TS BYDem'!$J$10:$J$203,MATCH(D244,'[5]TS BYDem'!$D$10:$D$203,0))</f>
        <v>73.690487252999532</v>
      </c>
      <c r="K244" s="227">
        <f t="shared" ca="1" si="82"/>
        <v>74.818805549079357</v>
      </c>
      <c r="L244" s="227">
        <f t="shared" ca="1" si="82"/>
        <v>75.947123845159169</v>
      </c>
      <c r="M244" s="227">
        <f t="shared" ca="1" si="82"/>
        <v>77.075442141239009</v>
      </c>
      <c r="N244" s="227">
        <f t="shared" ca="1" si="82"/>
        <v>77.612728557075712</v>
      </c>
      <c r="O244" s="227">
        <f t="shared" ca="1" si="82"/>
        <v>78.15001497291243</v>
      </c>
      <c r="P244" s="227">
        <f t="shared" ca="1" si="82"/>
        <v>78.687301388749134</v>
      </c>
      <c r="Q244" s="227">
        <f t="shared" ca="1" si="82"/>
        <v>79.224587804585838</v>
      </c>
      <c r="R244" s="227">
        <f t="shared" ca="1" si="82"/>
        <v>79.76187422042257</v>
      </c>
      <c r="S244" s="227">
        <f t="shared" ca="1" si="82"/>
        <v>81.428612071408622</v>
      </c>
      <c r="T244" s="227">
        <f t="shared" ca="1" si="82"/>
        <v>83.095349922394675</v>
      </c>
      <c r="U244" s="227">
        <f t="shared" ca="1" si="82"/>
        <v>84.762087773380713</v>
      </c>
      <c r="V244" s="227">
        <f t="shared" ca="1" si="82"/>
        <v>86.428825624366752</v>
      </c>
      <c r="W244" s="227">
        <f t="shared" ca="1" si="82"/>
        <v>88.095563475352776</v>
      </c>
      <c r="X244" s="227">
        <f t="shared" ca="1" si="82"/>
        <v>90.374039153464366</v>
      </c>
      <c r="Y244" s="227">
        <f t="shared" ca="1" si="82"/>
        <v>92.652514831575971</v>
      </c>
      <c r="Z244" s="227">
        <f t="shared" ca="1" si="82"/>
        <v>94.930990509687561</v>
      </c>
      <c r="AA244" s="227">
        <f t="shared" ca="1" si="83"/>
        <v>97.209466187799151</v>
      </c>
      <c r="AB244" s="227">
        <f t="shared" ca="1" si="83"/>
        <v>99.487941865910784</v>
      </c>
      <c r="AC244" s="227">
        <f t="shared" ca="1" si="83"/>
        <v>101.93612526122281</v>
      </c>
      <c r="AD244" s="227">
        <f t="shared" ca="1" si="83"/>
        <v>104.38430865653484</v>
      </c>
      <c r="AE244" s="227">
        <f t="shared" ca="1" si="83"/>
        <v>106.83249205184687</v>
      </c>
      <c r="AF244" s="227">
        <f t="shared" ca="1" si="83"/>
        <v>109.28067544715891</v>
      </c>
      <c r="AG244" s="227">
        <f t="shared" ca="1" si="83"/>
        <v>111.72885884247096</v>
      </c>
      <c r="AH244" s="227">
        <f t="shared" ca="1" si="83"/>
        <v>114.50926578245958</v>
      </c>
      <c r="AI244" s="227">
        <f t="shared" ca="1" si="83"/>
        <v>117.28967272244819</v>
      </c>
      <c r="AJ244" s="227">
        <f t="shared" ca="1" si="83"/>
        <v>120.07007966243681</v>
      </c>
      <c r="AK244" s="227">
        <f t="shared" ca="1" si="83"/>
        <v>122.85048660242543</v>
      </c>
      <c r="AL244" s="227">
        <f t="shared" ca="1" si="83"/>
        <v>125.63089354241403</v>
      </c>
      <c r="AM244" s="227">
        <f t="shared" ca="1" si="83"/>
        <v>139.69940029057778</v>
      </c>
      <c r="AN244" s="227">
        <f t="shared" ca="1" si="83"/>
        <v>154.49594947529812</v>
      </c>
      <c r="AO244" s="227">
        <f t="shared" ca="1" si="83"/>
        <v>183.23966500209013</v>
      </c>
      <c r="AP244" s="227">
        <f t="shared" ca="1" si="83"/>
        <v>212.1047209349739</v>
      </c>
    </row>
    <row r="245" spans="1:42">
      <c r="A245" s="61" t="str">
        <f>'[5]TS BYDem'!A184</f>
        <v>*</v>
      </c>
      <c r="B245" s="227" t="s">
        <v>295</v>
      </c>
      <c r="C245" s="227" t="s">
        <v>138</v>
      </c>
      <c r="D245" s="227" t="str">
        <f>'[5]TS BYDem'!D184</f>
        <v>IOTS</v>
      </c>
      <c r="E245" s="227" t="s">
        <v>138</v>
      </c>
      <c r="F245" s="227" t="s">
        <v>138</v>
      </c>
      <c r="G245" s="227" t="s">
        <v>138</v>
      </c>
      <c r="H245" s="227" t="s">
        <v>138</v>
      </c>
      <c r="I245" s="227">
        <v>0</v>
      </c>
      <c r="J245" s="227">
        <f>INDEX('[5]TS BYDem'!$J$10:$J$203,MATCH(D245,'[5]TS BYDem'!$D$10:$D$203,0))</f>
        <v>73.690487252999532</v>
      </c>
      <c r="K245" s="227">
        <f t="shared" ca="1" si="82"/>
        <v>74.818805549079357</v>
      </c>
      <c r="L245" s="227">
        <f t="shared" ca="1" si="82"/>
        <v>75.947123845159169</v>
      </c>
      <c r="M245" s="227">
        <f t="shared" ca="1" si="82"/>
        <v>77.075442141239009</v>
      </c>
      <c r="N245" s="227">
        <f t="shared" ca="1" si="82"/>
        <v>77.612728557075712</v>
      </c>
      <c r="O245" s="227">
        <f t="shared" ca="1" si="82"/>
        <v>78.15001497291243</v>
      </c>
      <c r="P245" s="227">
        <f t="shared" ca="1" si="82"/>
        <v>78.687301388749134</v>
      </c>
      <c r="Q245" s="227">
        <f t="shared" ca="1" si="82"/>
        <v>79.224587804585838</v>
      </c>
      <c r="R245" s="227">
        <f t="shared" ca="1" si="82"/>
        <v>79.76187422042257</v>
      </c>
      <c r="S245" s="227">
        <f t="shared" ca="1" si="82"/>
        <v>81.428612071408622</v>
      </c>
      <c r="T245" s="227">
        <f t="shared" ca="1" si="82"/>
        <v>83.095349922394675</v>
      </c>
      <c r="U245" s="227">
        <f t="shared" ca="1" si="82"/>
        <v>84.762087773380713</v>
      </c>
      <c r="V245" s="227">
        <f t="shared" ca="1" si="82"/>
        <v>86.428825624366752</v>
      </c>
      <c r="W245" s="227">
        <f t="shared" ca="1" si="82"/>
        <v>88.095563475352776</v>
      </c>
      <c r="X245" s="227">
        <f t="shared" ca="1" si="82"/>
        <v>90.374039153464366</v>
      </c>
      <c r="Y245" s="227">
        <f t="shared" ca="1" si="82"/>
        <v>92.652514831575971</v>
      </c>
      <c r="Z245" s="227">
        <f t="shared" ca="1" si="82"/>
        <v>94.930990509687561</v>
      </c>
      <c r="AA245" s="227">
        <f t="shared" ca="1" si="83"/>
        <v>97.209466187799151</v>
      </c>
      <c r="AB245" s="227">
        <f t="shared" ca="1" si="83"/>
        <v>99.487941865910784</v>
      </c>
      <c r="AC245" s="227">
        <f t="shared" ca="1" si="83"/>
        <v>101.93612526122281</v>
      </c>
      <c r="AD245" s="227">
        <f t="shared" ca="1" si="83"/>
        <v>104.38430865653484</v>
      </c>
      <c r="AE245" s="227">
        <f t="shared" ca="1" si="83"/>
        <v>106.83249205184687</v>
      </c>
      <c r="AF245" s="227">
        <f t="shared" ca="1" si="83"/>
        <v>109.28067544715891</v>
      </c>
      <c r="AG245" s="227">
        <f t="shared" ca="1" si="83"/>
        <v>111.72885884247096</v>
      </c>
      <c r="AH245" s="227">
        <f t="shared" ca="1" si="83"/>
        <v>114.50926578245958</v>
      </c>
      <c r="AI245" s="227">
        <f t="shared" ca="1" si="83"/>
        <v>117.28967272244819</v>
      </c>
      <c r="AJ245" s="227">
        <f t="shared" ca="1" si="83"/>
        <v>120.07007966243681</v>
      </c>
      <c r="AK245" s="227">
        <f t="shared" ca="1" si="83"/>
        <v>122.85048660242543</v>
      </c>
      <c r="AL245" s="227">
        <f t="shared" ca="1" si="83"/>
        <v>125.63089354241403</v>
      </c>
      <c r="AM245" s="227">
        <f t="shared" ca="1" si="83"/>
        <v>139.69940029057778</v>
      </c>
      <c r="AN245" s="227">
        <f t="shared" ca="1" si="83"/>
        <v>154.49594947529812</v>
      </c>
      <c r="AO245" s="227">
        <f t="shared" ca="1" si="83"/>
        <v>183.23966500209013</v>
      </c>
      <c r="AP245" s="227">
        <f t="shared" ca="1" si="83"/>
        <v>212.1047209349739</v>
      </c>
    </row>
    <row r="246" spans="1:42">
      <c r="A246" s="61" t="str">
        <f>'[5]TS BYDem'!A185</f>
        <v>*</v>
      </c>
      <c r="B246" s="227" t="s">
        <v>295</v>
      </c>
      <c r="C246" s="227" t="s">
        <v>138</v>
      </c>
      <c r="D246" s="227" t="str">
        <f>'[5]TS BYDem'!D185</f>
        <v>IOTS</v>
      </c>
      <c r="E246" s="227" t="s">
        <v>138</v>
      </c>
      <c r="F246" s="227" t="s">
        <v>138</v>
      </c>
      <c r="G246" s="227" t="s">
        <v>138</v>
      </c>
      <c r="H246" s="227" t="s">
        <v>138</v>
      </c>
      <c r="I246" s="227">
        <v>0</v>
      </c>
      <c r="J246" s="227">
        <f>INDEX('[5]TS BYDem'!$J$10:$J$203,MATCH(D246,'[5]TS BYDem'!$D$10:$D$203,0))</f>
        <v>73.690487252999532</v>
      </c>
      <c r="K246" s="227">
        <f t="shared" ca="1" si="82"/>
        <v>74.818805549079357</v>
      </c>
      <c r="L246" s="227">
        <f t="shared" ca="1" si="82"/>
        <v>75.947123845159169</v>
      </c>
      <c r="M246" s="227">
        <f t="shared" ca="1" si="82"/>
        <v>77.075442141239009</v>
      </c>
      <c r="N246" s="227">
        <f t="shared" ca="1" si="82"/>
        <v>77.612728557075712</v>
      </c>
      <c r="O246" s="227">
        <f t="shared" ca="1" si="82"/>
        <v>78.15001497291243</v>
      </c>
      <c r="P246" s="227">
        <f t="shared" ca="1" si="82"/>
        <v>78.687301388749134</v>
      </c>
      <c r="Q246" s="227">
        <f t="shared" ca="1" si="82"/>
        <v>79.224587804585838</v>
      </c>
      <c r="R246" s="227">
        <f t="shared" ca="1" si="82"/>
        <v>79.76187422042257</v>
      </c>
      <c r="S246" s="227">
        <f t="shared" ca="1" si="82"/>
        <v>81.428612071408622</v>
      </c>
      <c r="T246" s="227">
        <f t="shared" ca="1" si="82"/>
        <v>83.095349922394675</v>
      </c>
      <c r="U246" s="227">
        <f t="shared" ca="1" si="82"/>
        <v>84.762087773380713</v>
      </c>
      <c r="V246" s="227">
        <f t="shared" ca="1" si="82"/>
        <v>86.428825624366752</v>
      </c>
      <c r="W246" s="227">
        <f t="shared" ca="1" si="82"/>
        <v>88.095563475352776</v>
      </c>
      <c r="X246" s="227">
        <f t="shared" ca="1" si="82"/>
        <v>90.374039153464366</v>
      </c>
      <c r="Y246" s="227">
        <f t="shared" ca="1" si="82"/>
        <v>92.652514831575971</v>
      </c>
      <c r="Z246" s="227">
        <f t="shared" ca="1" si="82"/>
        <v>94.930990509687561</v>
      </c>
      <c r="AA246" s="227">
        <f t="shared" ca="1" si="83"/>
        <v>97.209466187799151</v>
      </c>
      <c r="AB246" s="227">
        <f t="shared" ca="1" si="83"/>
        <v>99.487941865910784</v>
      </c>
      <c r="AC246" s="227">
        <f t="shared" ca="1" si="83"/>
        <v>101.93612526122281</v>
      </c>
      <c r="AD246" s="227">
        <f t="shared" ca="1" si="83"/>
        <v>104.38430865653484</v>
      </c>
      <c r="AE246" s="227">
        <f t="shared" ca="1" si="83"/>
        <v>106.83249205184687</v>
      </c>
      <c r="AF246" s="227">
        <f t="shared" ca="1" si="83"/>
        <v>109.28067544715891</v>
      </c>
      <c r="AG246" s="227">
        <f t="shared" ca="1" si="83"/>
        <v>111.72885884247096</v>
      </c>
      <c r="AH246" s="227">
        <f t="shared" ca="1" si="83"/>
        <v>114.50926578245958</v>
      </c>
      <c r="AI246" s="227">
        <f t="shared" ca="1" si="83"/>
        <v>117.28967272244819</v>
      </c>
      <c r="AJ246" s="227">
        <f t="shared" ca="1" si="83"/>
        <v>120.07007966243681</v>
      </c>
      <c r="AK246" s="227">
        <f t="shared" ca="1" si="83"/>
        <v>122.85048660242543</v>
      </c>
      <c r="AL246" s="227">
        <f t="shared" ca="1" si="83"/>
        <v>125.63089354241403</v>
      </c>
      <c r="AM246" s="227">
        <f t="shared" ca="1" si="83"/>
        <v>139.69940029057778</v>
      </c>
      <c r="AN246" s="227">
        <f t="shared" ca="1" si="83"/>
        <v>154.49594947529812</v>
      </c>
      <c r="AO246" s="227">
        <f t="shared" ca="1" si="83"/>
        <v>183.23966500209013</v>
      </c>
      <c r="AP246" s="227">
        <f t="shared" ref="L246:AP253" ca="1" si="88">AP$230/AO$230*AO246</f>
        <v>212.1047209349739</v>
      </c>
    </row>
    <row r="247" spans="1:42">
      <c r="A247" s="61" t="str">
        <f>'[5]TS BYDem'!A186</f>
        <v>*</v>
      </c>
      <c r="B247" s="227" t="s">
        <v>295</v>
      </c>
      <c r="C247" s="227" t="s">
        <v>138</v>
      </c>
      <c r="D247" s="227" t="str">
        <f>'[5]TS BYDem'!D186</f>
        <v>IOTS</v>
      </c>
      <c r="E247" s="227" t="s">
        <v>138</v>
      </c>
      <c r="F247" s="227" t="s">
        <v>138</v>
      </c>
      <c r="G247" s="227" t="s">
        <v>138</v>
      </c>
      <c r="H247" s="227" t="s">
        <v>138</v>
      </c>
      <c r="I247" s="227">
        <v>0</v>
      </c>
      <c r="J247" s="227">
        <f>INDEX('[5]TS BYDem'!$J$10:$J$203,MATCH(D247,'[5]TS BYDem'!$D$10:$D$203,0))</f>
        <v>73.690487252999532</v>
      </c>
      <c r="K247" s="227">
        <f t="shared" ca="1" si="82"/>
        <v>74.818805549079357</v>
      </c>
      <c r="L247" s="227">
        <f t="shared" ca="1" si="88"/>
        <v>75.947123845159169</v>
      </c>
      <c r="M247" s="227">
        <f t="shared" ca="1" si="88"/>
        <v>77.075442141239009</v>
      </c>
      <c r="N247" s="227">
        <f t="shared" ca="1" si="88"/>
        <v>77.612728557075712</v>
      </c>
      <c r="O247" s="227">
        <f t="shared" ca="1" si="88"/>
        <v>78.15001497291243</v>
      </c>
      <c r="P247" s="227">
        <f t="shared" ca="1" si="88"/>
        <v>78.687301388749134</v>
      </c>
      <c r="Q247" s="227">
        <f t="shared" ca="1" si="88"/>
        <v>79.224587804585838</v>
      </c>
      <c r="R247" s="227">
        <f t="shared" ca="1" si="88"/>
        <v>79.76187422042257</v>
      </c>
      <c r="S247" s="227">
        <f t="shared" ca="1" si="88"/>
        <v>81.428612071408622</v>
      </c>
      <c r="T247" s="227">
        <f t="shared" ca="1" si="88"/>
        <v>83.095349922394675</v>
      </c>
      <c r="U247" s="227">
        <f t="shared" ca="1" si="88"/>
        <v>84.762087773380713</v>
      </c>
      <c r="V247" s="227">
        <f t="shared" ca="1" si="88"/>
        <v>86.428825624366752</v>
      </c>
      <c r="W247" s="227">
        <f t="shared" ca="1" si="88"/>
        <v>88.095563475352776</v>
      </c>
      <c r="X247" s="227">
        <f t="shared" ca="1" si="88"/>
        <v>90.374039153464366</v>
      </c>
      <c r="Y247" s="227">
        <f t="shared" ca="1" si="88"/>
        <v>92.652514831575971</v>
      </c>
      <c r="Z247" s="227">
        <f t="shared" ca="1" si="88"/>
        <v>94.930990509687561</v>
      </c>
      <c r="AA247" s="227">
        <f t="shared" ca="1" si="88"/>
        <v>97.209466187799151</v>
      </c>
      <c r="AB247" s="227">
        <f t="shared" ca="1" si="88"/>
        <v>99.487941865910784</v>
      </c>
      <c r="AC247" s="227">
        <f t="shared" ca="1" si="88"/>
        <v>101.93612526122281</v>
      </c>
      <c r="AD247" s="227">
        <f t="shared" ca="1" si="88"/>
        <v>104.38430865653484</v>
      </c>
      <c r="AE247" s="227">
        <f t="shared" ca="1" si="88"/>
        <v>106.83249205184687</v>
      </c>
      <c r="AF247" s="227">
        <f t="shared" ca="1" si="88"/>
        <v>109.28067544715891</v>
      </c>
      <c r="AG247" s="227">
        <f t="shared" ca="1" si="88"/>
        <v>111.72885884247096</v>
      </c>
      <c r="AH247" s="227">
        <f t="shared" ca="1" si="88"/>
        <v>114.50926578245958</v>
      </c>
      <c r="AI247" s="227">
        <f t="shared" ca="1" si="88"/>
        <v>117.28967272244819</v>
      </c>
      <c r="AJ247" s="227">
        <f t="shared" ca="1" si="88"/>
        <v>120.07007966243681</v>
      </c>
      <c r="AK247" s="227">
        <f t="shared" ca="1" si="88"/>
        <v>122.85048660242543</v>
      </c>
      <c r="AL247" s="227">
        <f t="shared" ca="1" si="88"/>
        <v>125.63089354241403</v>
      </c>
      <c r="AM247" s="227">
        <f t="shared" ca="1" si="88"/>
        <v>139.69940029057778</v>
      </c>
      <c r="AN247" s="227">
        <f t="shared" ca="1" si="88"/>
        <v>154.49594947529812</v>
      </c>
      <c r="AO247" s="227">
        <f t="shared" ca="1" si="88"/>
        <v>183.23966500209013</v>
      </c>
      <c r="AP247" s="227">
        <f t="shared" ca="1" si="88"/>
        <v>212.1047209349739</v>
      </c>
    </row>
    <row r="248" spans="1:42">
      <c r="A248" s="61" t="str">
        <f>'[5]TS BYDem'!A187</f>
        <v>*</v>
      </c>
      <c r="B248" s="227" t="s">
        <v>295</v>
      </c>
      <c r="C248" s="227" t="s">
        <v>138</v>
      </c>
      <c r="D248" s="227" t="str">
        <f>'[5]TS BYDem'!D187</f>
        <v>IOTS</v>
      </c>
      <c r="E248" s="227" t="s">
        <v>138</v>
      </c>
      <c r="F248" s="227" t="s">
        <v>138</v>
      </c>
      <c r="G248" s="227" t="s">
        <v>138</v>
      </c>
      <c r="H248" s="227" t="s">
        <v>138</v>
      </c>
      <c r="I248" s="227">
        <v>0</v>
      </c>
      <c r="J248" s="227">
        <f>INDEX('[5]TS BYDem'!$J$10:$J$203,MATCH(D248,'[5]TS BYDem'!$D$10:$D$203,0))</f>
        <v>73.690487252999532</v>
      </c>
      <c r="K248" s="227">
        <f t="shared" ca="1" si="82"/>
        <v>74.818805549079357</v>
      </c>
      <c r="L248" s="227">
        <f t="shared" ca="1" si="88"/>
        <v>75.947123845159169</v>
      </c>
      <c r="M248" s="227">
        <f t="shared" ca="1" si="88"/>
        <v>77.075442141239009</v>
      </c>
      <c r="N248" s="227">
        <f t="shared" ca="1" si="88"/>
        <v>77.612728557075712</v>
      </c>
      <c r="O248" s="227">
        <f t="shared" ca="1" si="88"/>
        <v>78.15001497291243</v>
      </c>
      <c r="P248" s="227">
        <f t="shared" ca="1" si="88"/>
        <v>78.687301388749134</v>
      </c>
      <c r="Q248" s="227">
        <f t="shared" ca="1" si="88"/>
        <v>79.224587804585838</v>
      </c>
      <c r="R248" s="227">
        <f t="shared" ca="1" si="88"/>
        <v>79.76187422042257</v>
      </c>
      <c r="S248" s="227">
        <f t="shared" ca="1" si="88"/>
        <v>81.428612071408622</v>
      </c>
      <c r="T248" s="227">
        <f t="shared" ca="1" si="88"/>
        <v>83.095349922394675</v>
      </c>
      <c r="U248" s="227">
        <f t="shared" ca="1" si="88"/>
        <v>84.762087773380713</v>
      </c>
      <c r="V248" s="227">
        <f t="shared" ca="1" si="88"/>
        <v>86.428825624366752</v>
      </c>
      <c r="W248" s="227">
        <f t="shared" ca="1" si="88"/>
        <v>88.095563475352776</v>
      </c>
      <c r="X248" s="227">
        <f t="shared" ca="1" si="88"/>
        <v>90.374039153464366</v>
      </c>
      <c r="Y248" s="227">
        <f t="shared" ca="1" si="88"/>
        <v>92.652514831575971</v>
      </c>
      <c r="Z248" s="227">
        <f t="shared" ca="1" si="88"/>
        <v>94.930990509687561</v>
      </c>
      <c r="AA248" s="227">
        <f t="shared" ca="1" si="88"/>
        <v>97.209466187799151</v>
      </c>
      <c r="AB248" s="227">
        <f t="shared" ca="1" si="88"/>
        <v>99.487941865910784</v>
      </c>
      <c r="AC248" s="227">
        <f t="shared" ca="1" si="88"/>
        <v>101.93612526122281</v>
      </c>
      <c r="AD248" s="227">
        <f t="shared" ca="1" si="88"/>
        <v>104.38430865653484</v>
      </c>
      <c r="AE248" s="227">
        <f t="shared" ca="1" si="88"/>
        <v>106.83249205184687</v>
      </c>
      <c r="AF248" s="227">
        <f t="shared" ca="1" si="88"/>
        <v>109.28067544715891</v>
      </c>
      <c r="AG248" s="227">
        <f t="shared" ca="1" si="88"/>
        <v>111.72885884247096</v>
      </c>
      <c r="AH248" s="227">
        <f t="shared" ca="1" si="88"/>
        <v>114.50926578245958</v>
      </c>
      <c r="AI248" s="227">
        <f t="shared" ca="1" si="88"/>
        <v>117.28967272244819</v>
      </c>
      <c r="AJ248" s="227">
        <f t="shared" ca="1" si="88"/>
        <v>120.07007966243681</v>
      </c>
      <c r="AK248" s="227">
        <f t="shared" ca="1" si="88"/>
        <v>122.85048660242543</v>
      </c>
      <c r="AL248" s="227">
        <f t="shared" ca="1" si="88"/>
        <v>125.63089354241403</v>
      </c>
      <c r="AM248" s="227">
        <f t="shared" ca="1" si="88"/>
        <v>139.69940029057778</v>
      </c>
      <c r="AN248" s="227">
        <f t="shared" ca="1" si="88"/>
        <v>154.49594947529812</v>
      </c>
      <c r="AO248" s="227">
        <f t="shared" ca="1" si="88"/>
        <v>183.23966500209013</v>
      </c>
      <c r="AP248" s="227">
        <f t="shared" ca="1" si="88"/>
        <v>212.1047209349739</v>
      </c>
    </row>
    <row r="249" spans="1:42">
      <c r="A249" s="61" t="str">
        <f>'[5]TS BYDem'!A184</f>
        <v>*</v>
      </c>
      <c r="B249" s="227" t="s">
        <v>295</v>
      </c>
      <c r="C249" s="227" t="s">
        <v>138</v>
      </c>
      <c r="D249" s="227" t="str">
        <f>'[5]TS BYDem'!D184</f>
        <v>IOTS</v>
      </c>
      <c r="E249" s="227" t="s">
        <v>138</v>
      </c>
      <c r="F249" s="227" t="s">
        <v>138</v>
      </c>
      <c r="G249" s="227" t="s">
        <v>138</v>
      </c>
      <c r="H249" s="227" t="s">
        <v>138</v>
      </c>
      <c r="I249" s="227">
        <v>0</v>
      </c>
      <c r="J249" s="227">
        <f>INDEX('[5]TS BYDem'!$J$10:$J$203,MATCH(D249,'[5]TS BYDem'!$D$10:$D$203,0))</f>
        <v>73.690487252999532</v>
      </c>
      <c r="K249" s="227">
        <f t="shared" ca="1" si="82"/>
        <v>74.818805549079357</v>
      </c>
      <c r="L249" s="227">
        <f t="shared" ca="1" si="88"/>
        <v>75.947123845159169</v>
      </c>
      <c r="M249" s="227">
        <f t="shared" ca="1" si="88"/>
        <v>77.075442141239009</v>
      </c>
      <c r="N249" s="227">
        <f t="shared" ca="1" si="88"/>
        <v>77.612728557075712</v>
      </c>
      <c r="O249" s="227">
        <f t="shared" ca="1" si="88"/>
        <v>78.15001497291243</v>
      </c>
      <c r="P249" s="227">
        <f t="shared" ca="1" si="88"/>
        <v>78.687301388749134</v>
      </c>
      <c r="Q249" s="227">
        <f t="shared" ca="1" si="88"/>
        <v>79.224587804585838</v>
      </c>
      <c r="R249" s="227">
        <f t="shared" ca="1" si="88"/>
        <v>79.76187422042257</v>
      </c>
      <c r="S249" s="227">
        <f t="shared" ca="1" si="88"/>
        <v>81.428612071408622</v>
      </c>
      <c r="T249" s="227">
        <f t="shared" ca="1" si="88"/>
        <v>83.095349922394675</v>
      </c>
      <c r="U249" s="227">
        <f t="shared" ca="1" si="88"/>
        <v>84.762087773380713</v>
      </c>
      <c r="V249" s="227">
        <f t="shared" ca="1" si="88"/>
        <v>86.428825624366752</v>
      </c>
      <c r="W249" s="227">
        <f t="shared" ca="1" si="88"/>
        <v>88.095563475352776</v>
      </c>
      <c r="X249" s="227">
        <f t="shared" ca="1" si="88"/>
        <v>90.374039153464366</v>
      </c>
      <c r="Y249" s="227">
        <f t="shared" ca="1" si="88"/>
        <v>92.652514831575971</v>
      </c>
      <c r="Z249" s="227">
        <f t="shared" ca="1" si="88"/>
        <v>94.930990509687561</v>
      </c>
      <c r="AA249" s="227">
        <f t="shared" ca="1" si="88"/>
        <v>97.209466187799151</v>
      </c>
      <c r="AB249" s="227">
        <f t="shared" ca="1" si="88"/>
        <v>99.487941865910784</v>
      </c>
      <c r="AC249" s="227">
        <f t="shared" ca="1" si="88"/>
        <v>101.93612526122281</v>
      </c>
      <c r="AD249" s="227">
        <f t="shared" ca="1" si="88"/>
        <v>104.38430865653484</v>
      </c>
      <c r="AE249" s="227">
        <f t="shared" ca="1" si="88"/>
        <v>106.83249205184687</v>
      </c>
      <c r="AF249" s="227">
        <f t="shared" ca="1" si="88"/>
        <v>109.28067544715891</v>
      </c>
      <c r="AG249" s="227">
        <f t="shared" ca="1" si="88"/>
        <v>111.72885884247096</v>
      </c>
      <c r="AH249" s="227">
        <f t="shared" ca="1" si="88"/>
        <v>114.50926578245958</v>
      </c>
      <c r="AI249" s="227">
        <f t="shared" ca="1" si="88"/>
        <v>117.28967272244819</v>
      </c>
      <c r="AJ249" s="227">
        <f t="shared" ca="1" si="88"/>
        <v>120.07007966243681</v>
      </c>
      <c r="AK249" s="227">
        <f t="shared" ca="1" si="88"/>
        <v>122.85048660242543</v>
      </c>
      <c r="AL249" s="227">
        <f t="shared" ca="1" si="88"/>
        <v>125.63089354241403</v>
      </c>
      <c r="AM249" s="227">
        <f t="shared" ca="1" si="88"/>
        <v>139.69940029057778</v>
      </c>
      <c r="AN249" s="227">
        <f t="shared" ca="1" si="88"/>
        <v>154.49594947529812</v>
      </c>
      <c r="AO249" s="227">
        <f t="shared" ca="1" si="88"/>
        <v>183.23966500209013</v>
      </c>
      <c r="AP249" s="227">
        <f t="shared" ca="1" si="88"/>
        <v>212.1047209349739</v>
      </c>
    </row>
    <row r="250" spans="1:42">
      <c r="A250" s="61" t="str">
        <f>'[5]TS BYDem'!A185</f>
        <v>*</v>
      </c>
      <c r="B250" s="227" t="s">
        <v>295</v>
      </c>
      <c r="C250" s="227" t="s">
        <v>138</v>
      </c>
      <c r="D250" s="227" t="str">
        <f>'[5]TS BYDem'!D185</f>
        <v>IOTS</v>
      </c>
      <c r="E250" s="227" t="s">
        <v>138</v>
      </c>
      <c r="F250" s="227" t="s">
        <v>138</v>
      </c>
      <c r="G250" s="227" t="s">
        <v>138</v>
      </c>
      <c r="H250" s="227" t="s">
        <v>138</v>
      </c>
      <c r="I250" s="227">
        <v>0</v>
      </c>
      <c r="J250" s="227">
        <f>INDEX('[5]TS BYDem'!$J$10:$J$203,MATCH(D250,'[5]TS BYDem'!$D$10:$D$203,0))</f>
        <v>73.690487252999532</v>
      </c>
      <c r="K250" s="227">
        <f t="shared" ca="1" si="82"/>
        <v>74.818805549079357</v>
      </c>
      <c r="L250" s="227">
        <f t="shared" ca="1" si="88"/>
        <v>75.947123845159169</v>
      </c>
      <c r="M250" s="227">
        <f t="shared" ca="1" si="88"/>
        <v>77.075442141239009</v>
      </c>
      <c r="N250" s="227">
        <f t="shared" ca="1" si="88"/>
        <v>77.612728557075712</v>
      </c>
      <c r="O250" s="227">
        <f t="shared" ca="1" si="88"/>
        <v>78.15001497291243</v>
      </c>
      <c r="P250" s="227">
        <f t="shared" ca="1" si="88"/>
        <v>78.687301388749134</v>
      </c>
      <c r="Q250" s="227">
        <f t="shared" ca="1" si="88"/>
        <v>79.224587804585838</v>
      </c>
      <c r="R250" s="227">
        <f t="shared" ca="1" si="88"/>
        <v>79.76187422042257</v>
      </c>
      <c r="S250" s="227">
        <f t="shared" ca="1" si="88"/>
        <v>81.428612071408622</v>
      </c>
      <c r="T250" s="227">
        <f t="shared" ca="1" si="88"/>
        <v>83.095349922394675</v>
      </c>
      <c r="U250" s="227">
        <f t="shared" ca="1" si="88"/>
        <v>84.762087773380713</v>
      </c>
      <c r="V250" s="227">
        <f t="shared" ca="1" si="88"/>
        <v>86.428825624366752</v>
      </c>
      <c r="W250" s="227">
        <f t="shared" ca="1" si="88"/>
        <v>88.095563475352776</v>
      </c>
      <c r="X250" s="227">
        <f t="shared" ca="1" si="88"/>
        <v>90.374039153464366</v>
      </c>
      <c r="Y250" s="227">
        <f t="shared" ca="1" si="88"/>
        <v>92.652514831575971</v>
      </c>
      <c r="Z250" s="227">
        <f t="shared" ca="1" si="88"/>
        <v>94.930990509687561</v>
      </c>
      <c r="AA250" s="227">
        <f t="shared" ca="1" si="88"/>
        <v>97.209466187799151</v>
      </c>
      <c r="AB250" s="227">
        <f t="shared" ca="1" si="88"/>
        <v>99.487941865910784</v>
      </c>
      <c r="AC250" s="227">
        <f t="shared" ca="1" si="88"/>
        <v>101.93612526122281</v>
      </c>
      <c r="AD250" s="227">
        <f t="shared" ca="1" si="88"/>
        <v>104.38430865653484</v>
      </c>
      <c r="AE250" s="227">
        <f t="shared" ca="1" si="88"/>
        <v>106.83249205184687</v>
      </c>
      <c r="AF250" s="227">
        <f t="shared" ca="1" si="88"/>
        <v>109.28067544715891</v>
      </c>
      <c r="AG250" s="227">
        <f t="shared" ca="1" si="88"/>
        <v>111.72885884247096</v>
      </c>
      <c r="AH250" s="227">
        <f t="shared" ca="1" si="88"/>
        <v>114.50926578245958</v>
      </c>
      <c r="AI250" s="227">
        <f t="shared" ca="1" si="88"/>
        <v>117.28967272244819</v>
      </c>
      <c r="AJ250" s="227">
        <f t="shared" ca="1" si="88"/>
        <v>120.07007966243681</v>
      </c>
      <c r="AK250" s="227">
        <f t="shared" ca="1" si="88"/>
        <v>122.85048660242543</v>
      </c>
      <c r="AL250" s="227">
        <f t="shared" ca="1" si="88"/>
        <v>125.63089354241403</v>
      </c>
      <c r="AM250" s="227">
        <f t="shared" ca="1" si="88"/>
        <v>139.69940029057778</v>
      </c>
      <c r="AN250" s="227">
        <f t="shared" ca="1" si="88"/>
        <v>154.49594947529812</v>
      </c>
      <c r="AO250" s="227">
        <f t="shared" ca="1" si="88"/>
        <v>183.23966500209013</v>
      </c>
      <c r="AP250" s="227">
        <f t="shared" ca="1" si="88"/>
        <v>212.1047209349739</v>
      </c>
    </row>
    <row r="251" spans="1:42">
      <c r="A251" s="61" t="str">
        <f>'[5]TS BYDem'!A186</f>
        <v>*</v>
      </c>
      <c r="B251" s="227" t="s">
        <v>295</v>
      </c>
      <c r="C251" s="227" t="s">
        <v>138</v>
      </c>
      <c r="D251" s="227" t="str">
        <f>'[5]TS BYDem'!D186</f>
        <v>IOTS</v>
      </c>
      <c r="E251" s="227" t="s">
        <v>138</v>
      </c>
      <c r="F251" s="227" t="s">
        <v>138</v>
      </c>
      <c r="G251" s="227" t="s">
        <v>138</v>
      </c>
      <c r="H251" s="227" t="s">
        <v>138</v>
      </c>
      <c r="I251" s="227">
        <v>0</v>
      </c>
      <c r="J251" s="227">
        <f>INDEX('[5]TS BYDem'!$J$10:$J$203,MATCH(D251,'[5]TS BYDem'!$D$10:$D$203,0))</f>
        <v>73.690487252999532</v>
      </c>
      <c r="K251" s="227">
        <f t="shared" ca="1" si="82"/>
        <v>74.818805549079357</v>
      </c>
      <c r="L251" s="227">
        <f t="shared" ca="1" si="88"/>
        <v>75.947123845159169</v>
      </c>
      <c r="M251" s="227">
        <f t="shared" ca="1" si="88"/>
        <v>77.075442141239009</v>
      </c>
      <c r="N251" s="227">
        <f t="shared" ca="1" si="88"/>
        <v>77.612728557075712</v>
      </c>
      <c r="O251" s="227">
        <f t="shared" ca="1" si="88"/>
        <v>78.15001497291243</v>
      </c>
      <c r="P251" s="227">
        <f t="shared" ca="1" si="88"/>
        <v>78.687301388749134</v>
      </c>
      <c r="Q251" s="227">
        <f t="shared" ca="1" si="88"/>
        <v>79.224587804585838</v>
      </c>
      <c r="R251" s="227">
        <f t="shared" ca="1" si="88"/>
        <v>79.76187422042257</v>
      </c>
      <c r="S251" s="227">
        <f t="shared" ca="1" si="88"/>
        <v>81.428612071408622</v>
      </c>
      <c r="T251" s="227">
        <f t="shared" ca="1" si="88"/>
        <v>83.095349922394675</v>
      </c>
      <c r="U251" s="227">
        <f t="shared" ca="1" si="88"/>
        <v>84.762087773380713</v>
      </c>
      <c r="V251" s="227">
        <f t="shared" ca="1" si="88"/>
        <v>86.428825624366752</v>
      </c>
      <c r="W251" s="227">
        <f t="shared" ca="1" si="88"/>
        <v>88.095563475352776</v>
      </c>
      <c r="X251" s="227">
        <f t="shared" ca="1" si="88"/>
        <v>90.374039153464366</v>
      </c>
      <c r="Y251" s="227">
        <f t="shared" ca="1" si="88"/>
        <v>92.652514831575971</v>
      </c>
      <c r="Z251" s="227">
        <f t="shared" ca="1" si="88"/>
        <v>94.930990509687561</v>
      </c>
      <c r="AA251" s="227">
        <f t="shared" ca="1" si="88"/>
        <v>97.209466187799151</v>
      </c>
      <c r="AB251" s="227">
        <f t="shared" ca="1" si="88"/>
        <v>99.487941865910784</v>
      </c>
      <c r="AC251" s="227">
        <f t="shared" ca="1" si="88"/>
        <v>101.93612526122281</v>
      </c>
      <c r="AD251" s="227">
        <f t="shared" ca="1" si="88"/>
        <v>104.38430865653484</v>
      </c>
      <c r="AE251" s="227">
        <f t="shared" ca="1" si="88"/>
        <v>106.83249205184687</v>
      </c>
      <c r="AF251" s="227">
        <f t="shared" ca="1" si="88"/>
        <v>109.28067544715891</v>
      </c>
      <c r="AG251" s="227">
        <f t="shared" ca="1" si="88"/>
        <v>111.72885884247096</v>
      </c>
      <c r="AH251" s="227">
        <f t="shared" ca="1" si="88"/>
        <v>114.50926578245958</v>
      </c>
      <c r="AI251" s="227">
        <f t="shared" ca="1" si="88"/>
        <v>117.28967272244819</v>
      </c>
      <c r="AJ251" s="227">
        <f t="shared" ca="1" si="88"/>
        <v>120.07007966243681</v>
      </c>
      <c r="AK251" s="227">
        <f t="shared" ca="1" si="88"/>
        <v>122.85048660242543</v>
      </c>
      <c r="AL251" s="227">
        <f t="shared" ca="1" si="88"/>
        <v>125.63089354241403</v>
      </c>
      <c r="AM251" s="227">
        <f t="shared" ca="1" si="88"/>
        <v>139.69940029057778</v>
      </c>
      <c r="AN251" s="227">
        <f t="shared" ca="1" si="88"/>
        <v>154.49594947529812</v>
      </c>
      <c r="AO251" s="227">
        <f t="shared" ca="1" si="88"/>
        <v>183.23966500209013</v>
      </c>
      <c r="AP251" s="227">
        <f t="shared" ca="1" si="88"/>
        <v>212.1047209349739</v>
      </c>
    </row>
    <row r="252" spans="1:42">
      <c r="A252" s="61" t="str">
        <f>'[5]TS BYDem'!A187</f>
        <v>*</v>
      </c>
      <c r="B252" s="227" t="s">
        <v>295</v>
      </c>
      <c r="C252" s="227" t="s">
        <v>138</v>
      </c>
      <c r="D252" s="227" t="str">
        <f>'[5]TS BYDem'!D187</f>
        <v>IOTS</v>
      </c>
      <c r="E252" s="227" t="s">
        <v>138</v>
      </c>
      <c r="F252" s="227" t="s">
        <v>138</v>
      </c>
      <c r="G252" s="227" t="s">
        <v>138</v>
      </c>
      <c r="H252" s="227" t="s">
        <v>138</v>
      </c>
      <c r="I252" s="227">
        <v>0</v>
      </c>
      <c r="J252" s="227">
        <f>INDEX('[5]TS BYDem'!$J$10:$J$203,MATCH(D252,'[5]TS BYDem'!$D$10:$D$203,0))</f>
        <v>73.690487252999532</v>
      </c>
      <c r="K252" s="227">
        <f t="shared" ca="1" si="82"/>
        <v>74.818805549079357</v>
      </c>
      <c r="L252" s="227">
        <f t="shared" ca="1" si="88"/>
        <v>75.947123845159169</v>
      </c>
      <c r="M252" s="227">
        <f t="shared" ca="1" si="88"/>
        <v>77.075442141239009</v>
      </c>
      <c r="N252" s="227">
        <f t="shared" ca="1" si="88"/>
        <v>77.612728557075712</v>
      </c>
      <c r="O252" s="227">
        <f t="shared" ca="1" si="88"/>
        <v>78.15001497291243</v>
      </c>
      <c r="P252" s="227">
        <f t="shared" ca="1" si="88"/>
        <v>78.687301388749134</v>
      </c>
      <c r="Q252" s="227">
        <f t="shared" ca="1" si="88"/>
        <v>79.224587804585838</v>
      </c>
      <c r="R252" s="227">
        <f t="shared" ca="1" si="88"/>
        <v>79.76187422042257</v>
      </c>
      <c r="S252" s="227">
        <f t="shared" ca="1" si="88"/>
        <v>81.428612071408622</v>
      </c>
      <c r="T252" s="227">
        <f t="shared" ca="1" si="88"/>
        <v>83.095349922394675</v>
      </c>
      <c r="U252" s="227">
        <f t="shared" ca="1" si="88"/>
        <v>84.762087773380713</v>
      </c>
      <c r="V252" s="227">
        <f t="shared" ca="1" si="88"/>
        <v>86.428825624366752</v>
      </c>
      <c r="W252" s="227">
        <f t="shared" ca="1" si="88"/>
        <v>88.095563475352776</v>
      </c>
      <c r="X252" s="227">
        <f t="shared" ca="1" si="88"/>
        <v>90.374039153464366</v>
      </c>
      <c r="Y252" s="227">
        <f t="shared" ca="1" si="88"/>
        <v>92.652514831575971</v>
      </c>
      <c r="Z252" s="227">
        <f t="shared" ca="1" si="88"/>
        <v>94.930990509687561</v>
      </c>
      <c r="AA252" s="227">
        <f t="shared" ca="1" si="88"/>
        <v>97.209466187799151</v>
      </c>
      <c r="AB252" s="227">
        <f t="shared" ca="1" si="88"/>
        <v>99.487941865910784</v>
      </c>
      <c r="AC252" s="227">
        <f t="shared" ca="1" si="88"/>
        <v>101.93612526122281</v>
      </c>
      <c r="AD252" s="227">
        <f t="shared" ca="1" si="88"/>
        <v>104.38430865653484</v>
      </c>
      <c r="AE252" s="227">
        <f t="shared" ca="1" si="88"/>
        <v>106.83249205184687</v>
      </c>
      <c r="AF252" s="227">
        <f t="shared" ca="1" si="88"/>
        <v>109.28067544715891</v>
      </c>
      <c r="AG252" s="227">
        <f t="shared" ca="1" si="88"/>
        <v>111.72885884247096</v>
      </c>
      <c r="AH252" s="227">
        <f t="shared" ca="1" si="88"/>
        <v>114.50926578245958</v>
      </c>
      <c r="AI252" s="227">
        <f t="shared" ca="1" si="88"/>
        <v>117.28967272244819</v>
      </c>
      <c r="AJ252" s="227">
        <f t="shared" ca="1" si="88"/>
        <v>120.07007966243681</v>
      </c>
      <c r="AK252" s="227">
        <f t="shared" ca="1" si="88"/>
        <v>122.85048660242543</v>
      </c>
      <c r="AL252" s="227">
        <f t="shared" ca="1" si="88"/>
        <v>125.63089354241403</v>
      </c>
      <c r="AM252" s="227">
        <f t="shared" ca="1" si="88"/>
        <v>139.69940029057778</v>
      </c>
      <c r="AN252" s="227">
        <f t="shared" ca="1" si="88"/>
        <v>154.49594947529812</v>
      </c>
      <c r="AO252" s="227">
        <f t="shared" ca="1" si="88"/>
        <v>183.23966500209013</v>
      </c>
      <c r="AP252" s="227">
        <f t="shared" ca="1" si="88"/>
        <v>212.1047209349739</v>
      </c>
    </row>
    <row r="253" spans="1:42">
      <c r="A253" s="61" t="str">
        <f>'[5]TS BYDem'!A188</f>
        <v/>
      </c>
      <c r="B253" s="227" t="s">
        <v>295</v>
      </c>
      <c r="C253" s="227" t="s">
        <v>138</v>
      </c>
      <c r="D253" s="227" t="str">
        <f>'[5]TS BYDem'!D188</f>
        <v>IOTR</v>
      </c>
      <c r="E253" s="227" t="s">
        <v>138</v>
      </c>
      <c r="F253" s="227" t="s">
        <v>138</v>
      </c>
      <c r="G253" s="227" t="s">
        <v>138</v>
      </c>
      <c r="H253" s="227" t="s">
        <v>138</v>
      </c>
      <c r="I253" s="227">
        <v>0</v>
      </c>
      <c r="J253" s="227">
        <f>INDEX('[5]TS BYDem'!$J$10:$J$203,MATCH(D253,'[5]TS BYDem'!$D$10:$D$203,0))</f>
        <v>9.4685659246785185</v>
      </c>
      <c r="K253" s="227">
        <f t="shared" ca="1" si="82"/>
        <v>9.6135446942417211</v>
      </c>
      <c r="L253" s="227">
        <f t="shared" ca="1" si="88"/>
        <v>9.7585234638049236</v>
      </c>
      <c r="M253" s="234">
        <f t="shared" ref="M253" si="89">O253</f>
        <v>37.630000000000003</v>
      </c>
      <c r="N253" s="234">
        <f t="shared" ref="N253" si="90">O253</f>
        <v>37.630000000000003</v>
      </c>
      <c r="O253" s="234">
        <f>INDEX('[5]TS BYDem'!$O$10:$O$203,MATCH(D253,'[5]TS BYDem'!$D$10:$D$203,0))</f>
        <v>37.630000000000003</v>
      </c>
      <c r="P253" s="227">
        <f t="shared" ca="1" si="88"/>
        <v>37.888708687835098</v>
      </c>
      <c r="Q253" s="227">
        <f t="shared" ca="1" si="88"/>
        <v>38.147417375670194</v>
      </c>
      <c r="R253" s="227">
        <f t="shared" ca="1" si="88"/>
        <v>38.406126063505297</v>
      </c>
      <c r="S253" s="227">
        <f t="shared" ca="1" si="88"/>
        <v>39.208676713743102</v>
      </c>
      <c r="T253" s="227">
        <f t="shared" ca="1" si="88"/>
        <v>40.011227363980908</v>
      </c>
      <c r="U253" s="227">
        <f t="shared" ca="1" si="88"/>
        <v>40.813778014218713</v>
      </c>
      <c r="V253" s="227">
        <f t="shared" ca="1" si="88"/>
        <v>41.61632866445651</v>
      </c>
      <c r="W253" s="227">
        <f t="shared" ca="1" si="88"/>
        <v>42.418879314694301</v>
      </c>
      <c r="X253" s="227">
        <f t="shared" ca="1" si="88"/>
        <v>43.515987738756117</v>
      </c>
      <c r="Y253" s="227">
        <f t="shared" ca="1" si="88"/>
        <v>44.613096162817939</v>
      </c>
      <c r="Z253" s="227">
        <f t="shared" ca="1" si="88"/>
        <v>45.710204586879755</v>
      </c>
      <c r="AA253" s="227">
        <f t="shared" ca="1" si="88"/>
        <v>46.80731301094157</v>
      </c>
      <c r="AB253" s="227">
        <f t="shared" ca="1" si="88"/>
        <v>47.904421435003407</v>
      </c>
      <c r="AC253" s="227">
        <f t="shared" ca="1" si="88"/>
        <v>49.083245792203122</v>
      </c>
      <c r="AD253" s="227">
        <f t="shared" ca="1" si="88"/>
        <v>50.262070149402838</v>
      </c>
      <c r="AE253" s="227">
        <f t="shared" ca="1" si="88"/>
        <v>51.440894506602554</v>
      </c>
      <c r="AF253" s="227">
        <f t="shared" ca="1" si="88"/>
        <v>52.619718863802277</v>
      </c>
      <c r="AG253" s="227">
        <f t="shared" ca="1" si="88"/>
        <v>53.798543221001999</v>
      </c>
      <c r="AH253" s="227">
        <f t="shared" ca="1" si="88"/>
        <v>55.13733647891803</v>
      </c>
      <c r="AI253" s="227">
        <f t="shared" ca="1" si="88"/>
        <v>56.476129736834054</v>
      </c>
      <c r="AJ253" s="227">
        <f t="shared" ca="1" si="88"/>
        <v>57.814922994750077</v>
      </c>
      <c r="AK253" s="227">
        <f t="shared" ca="1" si="88"/>
        <v>59.153716252666108</v>
      </c>
      <c r="AL253" s="227">
        <f t="shared" ca="1" si="88"/>
        <v>60.492509510582117</v>
      </c>
      <c r="AM253" s="227">
        <f t="shared" ca="1" si="88"/>
        <v>67.266633726897325</v>
      </c>
      <c r="AN253" s="227">
        <f t="shared" ca="1" si="88"/>
        <v>74.391317529120741</v>
      </c>
      <c r="AO253" s="227">
        <f t="shared" ca="1" si="88"/>
        <v>88.231698950008322</v>
      </c>
      <c r="AP253" s="227">
        <f t="shared" ca="1" si="88"/>
        <v>102.1305069685468</v>
      </c>
    </row>
    <row r="254" spans="1:42">
      <c r="A254" s="61" t="str">
        <f>'[5]TS BYDem'!A189</f>
        <v>*</v>
      </c>
      <c r="B254" s="227" t="s">
        <v>295</v>
      </c>
      <c r="C254" s="227" t="s">
        <v>138</v>
      </c>
      <c r="D254" s="227">
        <f>'[5]TS BYDem'!D189</f>
        <v>0</v>
      </c>
      <c r="E254" s="227" t="s">
        <v>138</v>
      </c>
      <c r="F254" s="227" t="s">
        <v>138</v>
      </c>
      <c r="G254" s="227" t="s">
        <v>138</v>
      </c>
      <c r="H254" s="227" t="s">
        <v>138</v>
      </c>
      <c r="I254" s="227">
        <v>0</v>
      </c>
      <c r="J254" s="227" t="str">
        <f>INDEX('[5]TS BYDem'!$J$10:$J$203,MATCH(D254,'[5]TS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09375" defaultRowHeight="10.199999999999999"/>
  <cols>
    <col min="1" max="1" width="12.44140625" style="18" customWidth="1"/>
    <col min="2" max="2" width="9.109375" style="18"/>
    <col min="3" max="3" width="11" style="18" customWidth="1"/>
    <col min="4" max="4" width="27.44140625" style="18" customWidth="1"/>
    <col min="5" max="5" width="10.109375" style="18" customWidth="1"/>
    <col min="6" max="6" width="28.88671875" style="18" customWidth="1"/>
    <col min="7" max="16384" width="9.109375" style="18"/>
  </cols>
  <sheetData>
    <row r="1" spans="1:8">
      <c r="A1" s="16" t="s">
        <v>29</v>
      </c>
      <c r="B1" s="18" t="s">
        <v>18</v>
      </c>
      <c r="H1" s="18" t="s">
        <v>30</v>
      </c>
    </row>
    <row r="2" spans="1:8">
      <c r="A2" s="18" t="s">
        <v>17</v>
      </c>
    </row>
    <row r="3" spans="1:8" ht="18.75" customHeight="1">
      <c r="A3" s="18" t="s">
        <v>17</v>
      </c>
    </row>
    <row r="4" spans="1:8">
      <c r="A4" s="18" t="s">
        <v>17</v>
      </c>
    </row>
    <row r="5" spans="1:8">
      <c r="A5" s="18" t="s">
        <v>17</v>
      </c>
    </row>
    <row r="6" spans="1:8">
      <c r="A6" s="18" t="s">
        <v>17</v>
      </c>
    </row>
    <row r="7" spans="1:8">
      <c r="A7" s="18" t="s">
        <v>17</v>
      </c>
      <c r="B7" s="16" t="s">
        <v>31</v>
      </c>
      <c r="C7" s="26" t="s">
        <v>32</v>
      </c>
      <c r="D7" s="16" t="s">
        <v>33</v>
      </c>
      <c r="E7" s="16" t="s">
        <v>34</v>
      </c>
      <c r="F7" s="16" t="s">
        <v>35</v>
      </c>
      <c r="G7" s="16" t="s">
        <v>36</v>
      </c>
    </row>
    <row r="8" spans="1:8">
      <c r="A8" s="18" t="s">
        <v>17</v>
      </c>
      <c r="B8" s="16" t="s">
        <v>37</v>
      </c>
      <c r="C8" s="26"/>
      <c r="D8" s="16"/>
      <c r="E8" s="16"/>
      <c r="F8" s="16"/>
      <c r="G8" s="16"/>
    </row>
    <row r="9" spans="1:8">
      <c r="A9" s="58" t="str">
        <f>[6]ITEMS_Comm!A27</f>
        <v/>
      </c>
      <c r="B9" s="59" t="str">
        <f>[6]ITEMS_Comm!B27</f>
        <v>E</v>
      </c>
      <c r="C9" s="58" t="str">
        <f>[6]ITEMS_Comm!C27</f>
        <v>RLEL</v>
      </c>
      <c r="D9" s="58" t="str">
        <f>[6]ITEMS_Comm!D27</f>
        <v>Residential - Lighting - Low Income Electrified</v>
      </c>
      <c r="E9" s="59" t="str">
        <f>[6]ITEMS_Comm!E27</f>
        <v>PJ</v>
      </c>
      <c r="F9" s="59" t="str">
        <f>[6]ITEMS_Comm!F27</f>
        <v>COM,DEM,DAYNITE,RES</v>
      </c>
    </row>
    <row r="10" spans="1:8">
      <c r="A10" s="58" t="str">
        <f>[6]ITEMS_Comm!A28</f>
        <v/>
      </c>
      <c r="B10" s="59" t="str">
        <f>[6]ITEMS_Comm!B28</f>
        <v>E</v>
      </c>
      <c r="C10" s="58" t="str">
        <f>[6]ITEMS_Comm!C28</f>
        <v>RLNL</v>
      </c>
      <c r="D10" s="58" t="str">
        <f>[6]ITEMS_Comm!D28</f>
        <v>Residential - Lighting - Low Income Electrified paraffin</v>
      </c>
      <c r="E10" s="59" t="str">
        <f>[6]ITEMS_Comm!E28</f>
        <v>PJ</v>
      </c>
      <c r="F10" s="59" t="str">
        <f>[6]ITEMS_Comm!F28</f>
        <v>COM,DEM,DAYNITE,RES</v>
      </c>
    </row>
    <row r="11" spans="1:8">
      <c r="A11" s="58" t="str">
        <f>[6]ITEMS_Comm!A29</f>
        <v/>
      </c>
      <c r="B11" s="59" t="str">
        <f>[6]ITEMS_Comm!B29</f>
        <v>E</v>
      </c>
      <c r="C11" s="58" t="str">
        <f>[6]ITEMS_Comm!C29</f>
        <v>RLEK</v>
      </c>
      <c r="D11" s="58" t="str">
        <f>[6]ITEMS_Comm!D29</f>
        <v>Residential - Cooking - Low Income Electrified</v>
      </c>
      <c r="E11" s="59" t="str">
        <f>[6]ITEMS_Comm!E29</f>
        <v>PJ</v>
      </c>
      <c r="F11" s="59" t="str">
        <f>[6]ITEMS_Comm!F29</f>
        <v>COM,DEM,DAYNITE,RES</v>
      </c>
    </row>
    <row r="12" spans="1:8">
      <c r="A12" s="58" t="str">
        <f>[6]ITEMS_Comm!A30</f>
        <v/>
      </c>
      <c r="B12" s="59" t="str">
        <f>[6]ITEMS_Comm!B30</f>
        <v>E</v>
      </c>
      <c r="C12" s="58" t="str">
        <f>[6]ITEMS_Comm!C30</f>
        <v>RLEH</v>
      </c>
      <c r="D12" s="58" t="str">
        <f>[6]ITEMS_Comm!D30</f>
        <v>Residential - Space Heating - Low Income Electrified</v>
      </c>
      <c r="E12" s="59" t="str">
        <f>[6]ITEMS_Comm!E30</f>
        <v>PJ</v>
      </c>
      <c r="F12" s="59" t="str">
        <f>[6]ITEMS_Comm!F30</f>
        <v>COM,DEM,DAYNITE,RES</v>
      </c>
    </row>
    <row r="13" spans="1:8">
      <c r="A13" s="58" t="str">
        <f>[6]ITEMS_Comm!A31</f>
        <v/>
      </c>
      <c r="B13" s="59" t="str">
        <f>[6]ITEMS_Comm!B31</f>
        <v>E</v>
      </c>
      <c r="C13" s="58" t="str">
        <f>[6]ITEMS_Comm!C31</f>
        <v>RLEWG</v>
      </c>
      <c r="D13" s="58" t="str">
        <f>[6]ITEMS_Comm!D31</f>
        <v>Residential - Water Heating Geyser - Low Income Electrified</v>
      </c>
      <c r="E13" s="59" t="str">
        <f>[6]ITEMS_Comm!E31</f>
        <v>PJ</v>
      </c>
      <c r="F13" s="59" t="str">
        <f>[6]ITEMS_Comm!F31</f>
        <v>COM,DEM,DAYNITE,RES</v>
      </c>
    </row>
    <row r="14" spans="1:8">
      <c r="A14" s="58" t="str">
        <f>[6]ITEMS_Comm!A32</f>
        <v/>
      </c>
      <c r="B14" s="59" t="str">
        <f>[6]ITEMS_Comm!B32</f>
        <v>E</v>
      </c>
      <c r="C14" s="58" t="str">
        <f>[6]ITEMS_Comm!C32</f>
        <v>RLEW</v>
      </c>
      <c r="D14" s="58" t="str">
        <f>[6]ITEMS_Comm!D32</f>
        <v>Residential - Water Heating - Low Income Electrified</v>
      </c>
      <c r="E14" s="59" t="str">
        <f>[6]ITEMS_Comm!E32</f>
        <v>PJ</v>
      </c>
      <c r="F14" s="59" t="str">
        <f>[6]ITEMS_Comm!F32</f>
        <v>COM,DEM,DAYNITE,RES</v>
      </c>
    </row>
    <row r="15" spans="1:8">
      <c r="A15" s="58" t="str">
        <f>[6]ITEMS_Comm!A33</f>
        <v/>
      </c>
      <c r="B15" s="59" t="str">
        <f>[6]ITEMS_Comm!B33</f>
        <v>E</v>
      </c>
      <c r="C15" s="58" t="str">
        <f>[6]ITEMS_Comm!C33</f>
        <v>RLER</v>
      </c>
      <c r="D15" s="58" t="str">
        <f>[6]ITEMS_Comm!D33</f>
        <v>Residential - Refrigeration - Low Income Electrified</v>
      </c>
      <c r="E15" s="59" t="str">
        <f>[6]ITEMS_Comm!E33</f>
        <v>PJ</v>
      </c>
      <c r="F15" s="59" t="str">
        <f>[6]ITEMS_Comm!F33</f>
        <v>COM,DEM,DAYNITE,RES</v>
      </c>
    </row>
    <row r="16" spans="1:8">
      <c r="A16" s="58" t="str">
        <f>[6]ITEMS_Comm!A34</f>
        <v/>
      </c>
      <c r="B16" s="59" t="str">
        <f>[6]ITEMS_Comm!B34</f>
        <v>E</v>
      </c>
      <c r="C16" s="58" t="str">
        <f>[6]ITEMS_Comm!C34</f>
        <v>RLEO</v>
      </c>
      <c r="D16" s="58" t="str">
        <f>[6]ITEMS_Comm!D34</f>
        <v>Residential - Other - Low Income Electrified</v>
      </c>
      <c r="E16" s="59" t="str">
        <f>[6]ITEMS_Comm!E34</f>
        <v>PJ</v>
      </c>
      <c r="F16" s="59" t="str">
        <f>[6]ITEMS_Comm!F34</f>
        <v>COM,DEM,DAYNITE,RES</v>
      </c>
    </row>
    <row r="17" spans="1:6">
      <c r="A17" s="58" t="str">
        <f>[6]ITEMS_Comm!A35</f>
        <v>*</v>
      </c>
      <c r="B17" s="59" t="str">
        <f>[6]ITEMS_Comm!B35</f>
        <v>E</v>
      </c>
      <c r="C17" s="58">
        <f>[6]ITEMS_Comm!C35</f>
        <v>0</v>
      </c>
      <c r="D17" s="58" t="str">
        <f>[6]ITEMS_Comm!D35</f>
        <v/>
      </c>
      <c r="E17" s="59" t="str">
        <f>[6]ITEMS_Comm!E35</f>
        <v/>
      </c>
      <c r="F17" s="59" t="str">
        <f>[6]ITEMS_Comm!F35</f>
        <v/>
      </c>
    </row>
    <row r="18" spans="1:6">
      <c r="A18" s="58" t="str">
        <f>[6]ITEMS_Comm!A36</f>
        <v>*</v>
      </c>
      <c r="B18" s="59" t="str">
        <f>[6]ITEMS_Comm!B36</f>
        <v>E</v>
      </c>
      <c r="C18" s="58">
        <f>[6]ITEMS_Comm!C36</f>
        <v>0</v>
      </c>
      <c r="D18" s="58" t="str">
        <f>[6]ITEMS_Comm!D36</f>
        <v/>
      </c>
      <c r="E18" s="59" t="str">
        <f>[6]ITEMS_Comm!E36</f>
        <v/>
      </c>
      <c r="F18" s="59" t="str">
        <f>[6]ITEMS_Comm!F36</f>
        <v/>
      </c>
    </row>
    <row r="19" spans="1:6">
      <c r="A19" s="58" t="str">
        <f>[6]ITEMS_Comm!A37</f>
        <v>*</v>
      </c>
      <c r="B19" s="59" t="str">
        <f>[6]ITEMS_Comm!B37</f>
        <v>E</v>
      </c>
      <c r="C19" s="58">
        <f>[6]ITEMS_Comm!C37</f>
        <v>0</v>
      </c>
      <c r="D19" s="58" t="str">
        <f>[6]ITEMS_Comm!D37</f>
        <v/>
      </c>
      <c r="E19" s="59" t="str">
        <f>[6]ITEMS_Comm!E37</f>
        <v/>
      </c>
      <c r="F19" s="59" t="str">
        <f>[6]ITEMS_Comm!F37</f>
        <v/>
      </c>
    </row>
    <row r="20" spans="1:6">
      <c r="A20" s="58" t="str">
        <f>[6]ITEMS_Comm!A38</f>
        <v/>
      </c>
      <c r="B20" s="59" t="str">
        <f>[6]ITEMS_Comm!B38</f>
        <v>E</v>
      </c>
      <c r="C20" s="58" t="str">
        <f>[6]ITEMS_Comm!C38</f>
        <v>RMEL</v>
      </c>
      <c r="D20" s="58" t="str">
        <f>[6]ITEMS_Comm!D38</f>
        <v>Residential - Lighting - Middle Income Electrified</v>
      </c>
      <c r="E20" s="59" t="str">
        <f>[6]ITEMS_Comm!E38</f>
        <v>PJ</v>
      </c>
      <c r="F20" s="59" t="str">
        <f>[6]ITEMS_Comm!F38</f>
        <v>COM,DEM,DAYNITE,RES</v>
      </c>
    </row>
    <row r="21" spans="1:6">
      <c r="A21" s="58" t="str">
        <f>[6]ITEMS_Comm!A39</f>
        <v/>
      </c>
      <c r="B21" s="59" t="str">
        <f>[6]ITEMS_Comm!B39</f>
        <v>E</v>
      </c>
      <c r="C21" s="58" t="str">
        <f>[6]ITEMS_Comm!C39</f>
        <v>RMNL</v>
      </c>
      <c r="D21" s="58" t="str">
        <f>[6]ITEMS_Comm!D39</f>
        <v>Residential - Lighting - Middle Income Electrified paraffin</v>
      </c>
      <c r="E21" s="59" t="str">
        <f>[6]ITEMS_Comm!E39</f>
        <v>PJ</v>
      </c>
      <c r="F21" s="59" t="str">
        <f>[6]ITEMS_Comm!F39</f>
        <v>COM,DEM,DAYNITE,RES</v>
      </c>
    </row>
    <row r="22" spans="1:6">
      <c r="A22" s="58" t="str">
        <f>[6]ITEMS_Comm!A40</f>
        <v/>
      </c>
      <c r="B22" s="59" t="str">
        <f>[6]ITEMS_Comm!B40</f>
        <v>E</v>
      </c>
      <c r="C22" s="58" t="str">
        <f>[6]ITEMS_Comm!C40</f>
        <v>RMEK</v>
      </c>
      <c r="D22" s="58" t="str">
        <f>[6]ITEMS_Comm!D40</f>
        <v>Residential - Cooking - Middle Income Electrified</v>
      </c>
      <c r="E22" s="59" t="str">
        <f>[6]ITEMS_Comm!E40</f>
        <v>PJ</v>
      </c>
      <c r="F22" s="59" t="str">
        <f>[6]ITEMS_Comm!F40</f>
        <v>COM,DEM,DAYNITE,RES</v>
      </c>
    </row>
    <row r="23" spans="1:6">
      <c r="A23" s="58" t="str">
        <f>[6]ITEMS_Comm!A41</f>
        <v/>
      </c>
      <c r="B23" s="59" t="str">
        <f>[6]ITEMS_Comm!B41</f>
        <v>E</v>
      </c>
      <c r="C23" s="58" t="str">
        <f>[6]ITEMS_Comm!C41</f>
        <v>RMEH</v>
      </c>
      <c r="D23" s="58" t="str">
        <f>[6]ITEMS_Comm!D41</f>
        <v>Residential - Space Heating - Middle Income Electrified</v>
      </c>
      <c r="E23" s="59" t="str">
        <f>[6]ITEMS_Comm!E41</f>
        <v>PJ</v>
      </c>
      <c r="F23" s="59" t="str">
        <f>[6]ITEMS_Comm!F41</f>
        <v>COM,DEM,DAYNITE,RES</v>
      </c>
    </row>
    <row r="24" spans="1:6">
      <c r="A24" s="58" t="str">
        <f>[6]ITEMS_Comm!A42</f>
        <v/>
      </c>
      <c r="B24" s="59" t="str">
        <f>[6]ITEMS_Comm!B42</f>
        <v>E</v>
      </c>
      <c r="C24" s="58" t="str">
        <f>[6]ITEMS_Comm!C42</f>
        <v>RMEWG</v>
      </c>
      <c r="D24" s="58" t="str">
        <f>[6]ITEMS_Comm!D42</f>
        <v>Residential - Water Heating Geyser - Middle Income Electrified</v>
      </c>
      <c r="E24" s="59" t="str">
        <f>[6]ITEMS_Comm!E42</f>
        <v>PJ</v>
      </c>
      <c r="F24" s="59" t="str">
        <f>[6]ITEMS_Comm!F42</f>
        <v>COM,DEM,DAYNITE,RES</v>
      </c>
    </row>
    <row r="25" spans="1:6">
      <c r="A25" s="58" t="str">
        <f>[6]ITEMS_Comm!A43</f>
        <v/>
      </c>
      <c r="B25" s="59" t="str">
        <f>[6]ITEMS_Comm!B43</f>
        <v>E</v>
      </c>
      <c r="C25" s="58" t="str">
        <f>[6]ITEMS_Comm!C43</f>
        <v>RMEW</v>
      </c>
      <c r="D25" s="58">
        <f>[6]ITEMS_Comm!D43</f>
        <v>0</v>
      </c>
      <c r="E25" s="59" t="str">
        <f>[6]ITEMS_Comm!E43</f>
        <v>PJ</v>
      </c>
      <c r="F25" s="59" t="str">
        <f>[6]ITEMS_Comm!F43</f>
        <v>COM,DEM,DAYNITE,RES</v>
      </c>
    </row>
    <row r="26" spans="1:6">
      <c r="A26" s="58" t="str">
        <f>[6]ITEMS_Comm!A44</f>
        <v/>
      </c>
      <c r="B26" s="59" t="str">
        <f>[6]ITEMS_Comm!B44</f>
        <v>E</v>
      </c>
      <c r="C26" s="58" t="str">
        <f>[6]ITEMS_Comm!C44</f>
        <v>RMER</v>
      </c>
      <c r="D26" s="58" t="str">
        <f>[6]ITEMS_Comm!D44</f>
        <v>Residential - Refrigeration - Middle Income Electrified</v>
      </c>
      <c r="E26" s="59" t="str">
        <f>[6]ITEMS_Comm!E44</f>
        <v>PJ</v>
      </c>
      <c r="F26" s="59" t="str">
        <f>[6]ITEMS_Comm!F44</f>
        <v>COM,DEM,DAYNITE,RES</v>
      </c>
    </row>
    <row r="27" spans="1:6">
      <c r="A27" s="58" t="str">
        <f>[6]ITEMS_Comm!A45</f>
        <v/>
      </c>
      <c r="B27" s="59" t="str">
        <f>[6]ITEMS_Comm!B45</f>
        <v>E</v>
      </c>
      <c r="C27" s="58" t="str">
        <f>[6]ITEMS_Comm!C45</f>
        <v>RMEO</v>
      </c>
      <c r="D27" s="58" t="str">
        <f>[6]ITEMS_Comm!D45</f>
        <v>Residential - Other - Middle Income Electrified</v>
      </c>
      <c r="E27" s="59" t="str">
        <f>[6]ITEMS_Comm!E45</f>
        <v>PJ</v>
      </c>
      <c r="F27" s="59" t="str">
        <f>[6]ITEMS_Comm!F45</f>
        <v>COM,DEM,DAYNITE,RES</v>
      </c>
    </row>
    <row r="28" spans="1:6">
      <c r="A28" s="58" t="str">
        <f>[6]ITEMS_Comm!A46</f>
        <v>*</v>
      </c>
      <c r="B28" s="59" t="str">
        <f>[6]ITEMS_Comm!B46</f>
        <v>E</v>
      </c>
      <c r="C28" s="58">
        <f>[6]ITEMS_Comm!C46</f>
        <v>0</v>
      </c>
      <c r="D28" s="58" t="str">
        <f>[6]ITEMS_Comm!D46</f>
        <v/>
      </c>
      <c r="E28" s="59" t="str">
        <f>[6]ITEMS_Comm!E46</f>
        <v/>
      </c>
      <c r="F28" s="59" t="str">
        <f>[6]ITEMS_Comm!F46</f>
        <v/>
      </c>
    </row>
    <row r="29" spans="1:6">
      <c r="A29" s="58" t="str">
        <f>[6]ITEMS_Comm!A47</f>
        <v>*</v>
      </c>
      <c r="B29" s="59" t="str">
        <f>[6]ITEMS_Comm!B47</f>
        <v>E</v>
      </c>
      <c r="C29" s="58">
        <f>[6]ITEMS_Comm!C47</f>
        <v>0</v>
      </c>
      <c r="D29" s="58" t="str">
        <f>[6]ITEMS_Comm!D47</f>
        <v/>
      </c>
      <c r="E29" s="59" t="str">
        <f>[6]ITEMS_Comm!E47</f>
        <v/>
      </c>
      <c r="F29" s="59" t="str">
        <f>[6]ITEMS_Comm!F47</f>
        <v/>
      </c>
    </row>
    <row r="30" spans="1:6">
      <c r="A30" s="58" t="str">
        <f>[6]ITEMS_Comm!A48</f>
        <v>*</v>
      </c>
      <c r="B30" s="59" t="str">
        <f>[6]ITEMS_Comm!B48</f>
        <v>E</v>
      </c>
      <c r="C30" s="58">
        <f>[6]ITEMS_Comm!C48</f>
        <v>0</v>
      </c>
      <c r="D30" s="58" t="str">
        <f>[6]ITEMS_Comm!D48</f>
        <v/>
      </c>
      <c r="E30" s="59" t="str">
        <f>[6]ITEMS_Comm!E48</f>
        <v/>
      </c>
      <c r="F30" s="59" t="str">
        <f>[6]ITEMS_Comm!F48</f>
        <v/>
      </c>
    </row>
    <row r="31" spans="1:6">
      <c r="A31" s="58" t="str">
        <f>[6]ITEMS_Comm!A49</f>
        <v/>
      </c>
      <c r="B31" s="59" t="str">
        <f>[6]ITEMS_Comm!B49</f>
        <v>E</v>
      </c>
      <c r="C31" s="58" t="str">
        <f>[6]ITEMS_Comm!C49</f>
        <v>RHEL</v>
      </c>
      <c r="D31" s="58" t="str">
        <f>[6]ITEMS_Comm!D49</f>
        <v>Residential - Lighting - High Income Electrified</v>
      </c>
      <c r="E31" s="59" t="str">
        <f>[6]ITEMS_Comm!E49</f>
        <v>PJ</v>
      </c>
      <c r="F31" s="59" t="str">
        <f>[6]ITEMS_Comm!F49</f>
        <v>COM,DEM,DAYNITE,RES</v>
      </c>
    </row>
    <row r="32" spans="1:6">
      <c r="A32" s="58" t="str">
        <f>[6]ITEMS_Comm!A50</f>
        <v/>
      </c>
      <c r="B32" s="59" t="str">
        <f>[6]ITEMS_Comm!B50</f>
        <v>E</v>
      </c>
      <c r="C32" s="58" t="str">
        <f>[6]ITEMS_Comm!C50</f>
        <v>RHEK</v>
      </c>
      <c r="D32" s="58" t="str">
        <f>[6]ITEMS_Comm!D50</f>
        <v>Residential - Cooking - High Income Electrified</v>
      </c>
      <c r="E32" s="59" t="str">
        <f>[6]ITEMS_Comm!E50</f>
        <v>PJ</v>
      </c>
      <c r="F32" s="59" t="str">
        <f>[6]ITEMS_Comm!F50</f>
        <v>COM,DEM,DAYNITE,RES</v>
      </c>
    </row>
    <row r="33" spans="1:6">
      <c r="A33" s="58" t="str">
        <f>[6]ITEMS_Comm!A51</f>
        <v/>
      </c>
      <c r="B33" s="59" t="str">
        <f>[6]ITEMS_Comm!B51</f>
        <v>E</v>
      </c>
      <c r="C33" s="58" t="str">
        <f>[6]ITEMS_Comm!C51</f>
        <v>RHEH</v>
      </c>
      <c r="D33" s="58" t="str">
        <f>[6]ITEMS_Comm!D51</f>
        <v>Residential - Space Heating - High Income Electrified</v>
      </c>
      <c r="E33" s="59" t="str">
        <f>[6]ITEMS_Comm!E51</f>
        <v>PJ</v>
      </c>
      <c r="F33" s="59" t="str">
        <f>[6]ITEMS_Comm!F51</f>
        <v>COM,DEM,DAYNITE,RES</v>
      </c>
    </row>
    <row r="34" spans="1:6">
      <c r="A34" s="58" t="str">
        <f>[6]ITEMS_Comm!A52</f>
        <v/>
      </c>
      <c r="B34" s="59" t="str">
        <f>[6]ITEMS_Comm!B52</f>
        <v>E</v>
      </c>
      <c r="C34" s="58" t="str">
        <f>[6]ITEMS_Comm!C52</f>
        <v>RHEWG</v>
      </c>
      <c r="D34" s="58" t="str">
        <f>[6]ITEMS_Comm!D52</f>
        <v>Residential - Water Heating Geyser - High Income Electrified</v>
      </c>
      <c r="E34" s="59" t="str">
        <f>[6]ITEMS_Comm!E52</f>
        <v>PJ</v>
      </c>
      <c r="F34" s="59" t="str">
        <f>[6]ITEMS_Comm!F52</f>
        <v>COM,DEM,DAYNITE,RES</v>
      </c>
    </row>
    <row r="35" spans="1:6">
      <c r="A35" s="58" t="str">
        <f>[6]ITEMS_Comm!A53</f>
        <v/>
      </c>
      <c r="B35" s="59" t="str">
        <f>[6]ITEMS_Comm!B53</f>
        <v>E</v>
      </c>
      <c r="C35" s="58" t="str">
        <f>[6]ITEMS_Comm!C53</f>
        <v>RHEW</v>
      </c>
      <c r="D35" s="58" t="str">
        <f>[6]ITEMS_Comm!D53</f>
        <v xml:space="preserve">Residential -water heating non geyser high income </v>
      </c>
      <c r="E35" s="59" t="str">
        <f>[6]ITEMS_Comm!E53</f>
        <v>PJ</v>
      </c>
      <c r="F35" s="59" t="str">
        <f>[6]ITEMS_Comm!F53</f>
        <v>COM,DEM,DAYNITE,RES</v>
      </c>
    </row>
    <row r="36" spans="1:6">
      <c r="A36" s="58" t="str">
        <f>[6]ITEMS_Comm!A54</f>
        <v/>
      </c>
      <c r="B36" s="59" t="str">
        <f>[6]ITEMS_Comm!B54</f>
        <v>E</v>
      </c>
      <c r="C36" s="58" t="str">
        <f>[6]ITEMS_Comm!C54</f>
        <v>RHER</v>
      </c>
      <c r="D36" s="58" t="str">
        <f>[6]ITEMS_Comm!D54</f>
        <v>Residential - Refrigeration - High Income Electrified</v>
      </c>
      <c r="E36" s="59" t="str">
        <f>[6]ITEMS_Comm!E54</f>
        <v>PJ</v>
      </c>
      <c r="F36" s="59" t="str">
        <f>[6]ITEMS_Comm!F54</f>
        <v>COM,DEM,DAYNITE,RES</v>
      </c>
    </row>
    <row r="37" spans="1:6">
      <c r="A37" s="58" t="str">
        <f>[6]ITEMS_Comm!A55</f>
        <v/>
      </c>
      <c r="B37" s="59" t="str">
        <f>[6]ITEMS_Comm!B55</f>
        <v>E</v>
      </c>
      <c r="C37" s="58" t="str">
        <f>[6]ITEMS_Comm!C55</f>
        <v>RHEO</v>
      </c>
      <c r="D37" s="58" t="str">
        <f>[6]ITEMS_Comm!D55</f>
        <v>Residential - Other - High Income Electrified</v>
      </c>
      <c r="E37" s="59" t="str">
        <f>[6]ITEMS_Comm!E55</f>
        <v>PJ</v>
      </c>
      <c r="F37" s="59" t="str">
        <f>[6]ITEMS_Comm!F55</f>
        <v>COM,DEM,DAYNITE,RES</v>
      </c>
    </row>
    <row r="38" spans="1:6">
      <c r="A38" s="58" t="str">
        <f>[6]ITEMS_Comm!A56</f>
        <v>*</v>
      </c>
      <c r="B38" s="59" t="str">
        <f>[6]ITEMS_Comm!B56</f>
        <v>E</v>
      </c>
      <c r="C38" s="58">
        <f>[6]ITEMS_Comm!C56</f>
        <v>0</v>
      </c>
      <c r="D38" s="58" t="str">
        <f>[6]ITEMS_Comm!D56</f>
        <v/>
      </c>
      <c r="E38" s="59" t="str">
        <f>[6]ITEMS_Comm!E56</f>
        <v/>
      </c>
      <c r="F38" s="59" t="str">
        <f>[6]ITEMS_Comm!F56</f>
        <v/>
      </c>
    </row>
    <row r="39" spans="1:6">
      <c r="A39" s="58" t="str">
        <f>[6]ITEMS_Comm!A57</f>
        <v>*</v>
      </c>
      <c r="B39" s="59" t="str">
        <f>[6]ITEMS_Comm!B57</f>
        <v>E</v>
      </c>
      <c r="C39" s="58">
        <f>[6]ITEMS_Comm!C57</f>
        <v>0</v>
      </c>
      <c r="D39" s="58" t="str">
        <f>[6]ITEMS_Comm!D57</f>
        <v/>
      </c>
      <c r="E39" s="59" t="str">
        <f>[6]ITEMS_Comm!E57</f>
        <v/>
      </c>
      <c r="F39" s="59" t="str">
        <f>[6]ITEMS_Comm!F57</f>
        <v/>
      </c>
    </row>
    <row r="40" spans="1:6">
      <c r="A40" s="58" t="str">
        <f>[6]ITEMS_Comm!A58</f>
        <v>*</v>
      </c>
      <c r="B40" s="59" t="str">
        <f>[6]ITEMS_Comm!B58</f>
        <v>E</v>
      </c>
      <c r="C40" s="58">
        <f>[6]ITEMS_Comm!C58</f>
        <v>0</v>
      </c>
      <c r="D40" s="58" t="str">
        <f>[6]ITEMS_Comm!D58</f>
        <v/>
      </c>
      <c r="E40" s="59" t="str">
        <f>[6]ITEMS_Comm!E58</f>
        <v/>
      </c>
      <c r="F40" s="59" t="str">
        <f>[6]ITEMS_Comm!F58</f>
        <v/>
      </c>
    </row>
    <row r="41" spans="1:6">
      <c r="A41" s="58" t="str">
        <f>[6]ITEMS_Comm!A59</f>
        <v>*</v>
      </c>
      <c r="B41" s="59" t="str">
        <f>[6]ITEMS_Comm!B59</f>
        <v>E</v>
      </c>
      <c r="C41" s="58">
        <f>[6]ITEMS_Comm!C59</f>
        <v>0</v>
      </c>
      <c r="D41" s="58" t="str">
        <f>[6]ITEMS_Comm!D59</f>
        <v/>
      </c>
      <c r="E41" s="59" t="str">
        <f>[6]ITEMS_Comm!E59</f>
        <v/>
      </c>
      <c r="F41" s="59" t="str">
        <f>[6]ITEMS_Comm!F59</f>
        <v/>
      </c>
    </row>
    <row r="42" spans="1:6">
      <c r="A42" s="58" t="str">
        <f>[6]ITEMS_Comm!A60</f>
        <v>*</v>
      </c>
      <c r="B42" s="59" t="str">
        <f>[6]ITEMS_Comm!B60</f>
        <v>E</v>
      </c>
      <c r="C42" s="58">
        <f>[6]ITEMS_Comm!C60</f>
        <v>0</v>
      </c>
      <c r="D42" s="58" t="str">
        <f>[6]ITEMS_Comm!D60</f>
        <v/>
      </c>
      <c r="E42" s="59" t="str">
        <f>[6]ITEMS_Comm!E60</f>
        <v/>
      </c>
      <c r="F42" s="59" t="str">
        <f>[6]ITEMS_Comm!F60</f>
        <v/>
      </c>
    </row>
    <row r="43" spans="1:6">
      <c r="A43" s="58" t="str">
        <f>[6]ITEMS_Comm!A61</f>
        <v>*</v>
      </c>
      <c r="B43" s="59" t="str">
        <f>[6]ITEMS_Comm!B61</f>
        <v>E</v>
      </c>
      <c r="C43" s="58">
        <f>[6]ITEMS_Comm!C61</f>
        <v>0</v>
      </c>
      <c r="D43" s="58" t="str">
        <f>[6]ITEMS_Comm!D61</f>
        <v/>
      </c>
      <c r="E43" s="59" t="str">
        <f>[6]ITEMS_Comm!E61</f>
        <v/>
      </c>
      <c r="F43" s="59" t="str">
        <f>[6]ITEMS_Comm!F61</f>
        <v/>
      </c>
    </row>
    <row r="44" spans="1:6">
      <c r="A44" s="58" t="str">
        <f>[6]ITEMS_Comm!A62</f>
        <v>*</v>
      </c>
      <c r="B44" s="59" t="str">
        <f>[6]ITEMS_Comm!B62</f>
        <v>E</v>
      </c>
      <c r="C44" s="58">
        <f>[6]ITEMS_Comm!C62</f>
        <v>0</v>
      </c>
      <c r="D44" s="58" t="str">
        <f>[6]ITEMS_Comm!D62</f>
        <v/>
      </c>
      <c r="E44" s="59" t="str">
        <f>[6]ITEMS_Comm!E62</f>
        <v/>
      </c>
      <c r="F44" s="59" t="str">
        <f>[6]ITEMS_Comm!F62</f>
        <v/>
      </c>
    </row>
    <row r="45" spans="1:6">
      <c r="A45" s="58" t="str">
        <f>[6]ITEMS_Comm!A63</f>
        <v>*</v>
      </c>
      <c r="B45" s="59" t="str">
        <f>[6]ITEMS_Comm!B63</f>
        <v>E</v>
      </c>
      <c r="C45" s="58">
        <f>[6]ITEMS_Comm!C63</f>
        <v>0</v>
      </c>
      <c r="D45" s="58" t="str">
        <f>[6]ITEMS_Comm!D63</f>
        <v/>
      </c>
      <c r="E45" s="59" t="str">
        <f>[6]ITEMS_Comm!E63</f>
        <v/>
      </c>
      <c r="F45" s="59" t="str">
        <f>[6]ITEMS_Comm!F63</f>
        <v/>
      </c>
    </row>
    <row r="46" spans="1:6">
      <c r="A46" s="58" t="str">
        <f>[6]ITEMS_Comm!A64</f>
        <v>*</v>
      </c>
      <c r="B46" s="59" t="str">
        <f>[6]ITEMS_Comm!B64</f>
        <v>E</v>
      </c>
      <c r="C46" s="58">
        <f>[6]ITEMS_Comm!C64</f>
        <v>0</v>
      </c>
      <c r="D46" s="58" t="str">
        <f>[6]ITEMS_Comm!D64</f>
        <v/>
      </c>
      <c r="E46" s="59" t="str">
        <f>[6]ITEMS_Comm!E64</f>
        <v/>
      </c>
      <c r="F46" s="59" t="str">
        <f>[6]ITEMS_Comm!F64</f>
        <v/>
      </c>
    </row>
    <row r="47" spans="1:6">
      <c r="A47" s="58" t="str">
        <f>[6]ITEMS_Comm!A65</f>
        <v>*</v>
      </c>
      <c r="B47" s="59" t="str">
        <f>[6]ITEMS_Comm!B65</f>
        <v>E</v>
      </c>
      <c r="C47" s="58">
        <f>[6]ITEMS_Comm!C65</f>
        <v>0</v>
      </c>
      <c r="D47" s="58" t="str">
        <f>[6]ITEMS_Comm!D65</f>
        <v/>
      </c>
      <c r="E47" s="59" t="str">
        <f>[6]ITEMS_Comm!E65</f>
        <v/>
      </c>
      <c r="F47" s="59" t="str">
        <f>[6]ITEMS_Comm!F65</f>
        <v/>
      </c>
    </row>
    <row r="48" spans="1:6">
      <c r="A48" s="58" t="str">
        <f>[6]ITEMS_Comm!A66</f>
        <v>*</v>
      </c>
      <c r="B48" s="59" t="str">
        <f>[6]ITEMS_Comm!B66</f>
        <v>E</v>
      </c>
      <c r="C48" s="58">
        <f>[6]ITEMS_Comm!C66</f>
        <v>0</v>
      </c>
      <c r="D48" s="58" t="str">
        <f>[6]ITEMS_Comm!D66</f>
        <v/>
      </c>
      <c r="E48" s="59" t="str">
        <f>[6]ITEMS_Comm!E66</f>
        <v/>
      </c>
      <c r="F48" s="59" t="str">
        <f>[6]ITEMS_Comm!F66</f>
        <v/>
      </c>
    </row>
    <row r="49" spans="1:6">
      <c r="A49" s="58" t="str">
        <f>[6]ITEMS_Comm!A67</f>
        <v>*</v>
      </c>
      <c r="B49" s="59" t="str">
        <f>[6]ITEMS_Comm!B67</f>
        <v>E</v>
      </c>
      <c r="C49" s="58">
        <f>[6]ITEMS_Comm!C67</f>
        <v>0</v>
      </c>
      <c r="D49" s="58" t="str">
        <f>[6]ITEMS_Comm!D67</f>
        <v/>
      </c>
      <c r="E49" s="59" t="str">
        <f>[6]ITEMS_Comm!E67</f>
        <v/>
      </c>
      <c r="F49" s="59" t="str">
        <f>[6]ITEMS_Comm!F67</f>
        <v/>
      </c>
    </row>
    <row r="50" spans="1:6">
      <c r="A50" s="18" t="str">
        <f>[6]ITEMS_Comm!A68</f>
        <v>*</v>
      </c>
      <c r="B50" s="18" t="str">
        <f>[6]ITEMS_Comm!B68</f>
        <v>E</v>
      </c>
      <c r="C50" s="18">
        <f>[6]ITEMS_Comm!C68</f>
        <v>0</v>
      </c>
      <c r="D50" s="18" t="str">
        <f>[6]ITEMS_Comm!D68</f>
        <v/>
      </c>
      <c r="E50" s="18" t="str">
        <f>[6]ITEMS_Comm!E68</f>
        <v/>
      </c>
      <c r="F50" s="18" t="str">
        <f>[6]ITEMS_Comm!F68</f>
        <v/>
      </c>
    </row>
    <row r="51" spans="1:6">
      <c r="A51" s="18" t="str">
        <f>[6]ITEMS_Comm!A69</f>
        <v>*</v>
      </c>
      <c r="B51" s="18" t="str">
        <f>[6]ITEMS_Comm!B69</f>
        <v>E</v>
      </c>
      <c r="C51" s="18">
        <f>[6]ITEMS_Comm!C69</f>
        <v>0</v>
      </c>
      <c r="D51" s="18" t="str">
        <f>[6]ITEMS_Comm!D69</f>
        <v/>
      </c>
      <c r="E51" s="18" t="str">
        <f>[6]ITEMS_Comm!E69</f>
        <v/>
      </c>
      <c r="F51" s="18" t="str">
        <f>[6]ITEMS_Comm!F69</f>
        <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6"/>
  <sheetViews>
    <sheetView tabSelected="1" topLeftCell="A97" zoomScale="80" zoomScaleNormal="80" workbookViewId="0">
      <selection activeCell="I80" sqref="I80"/>
    </sheetView>
  </sheetViews>
  <sheetFormatPr defaultColWidth="9.109375" defaultRowHeight="14.4"/>
  <cols>
    <col min="1" max="1" width="8.88671875" style="4" bestFit="1" customWidth="1"/>
    <col min="2" max="2" width="35.5546875" style="4" bestFit="1" customWidth="1"/>
    <col min="3" max="3" width="48" style="4" bestFit="1" customWidth="1"/>
    <col min="4" max="4" width="11.44140625" style="4" bestFit="1" customWidth="1"/>
    <col min="5" max="6" width="6.44140625" style="4" bestFit="1" customWidth="1"/>
    <col min="7" max="8" width="8.44140625" style="4" bestFit="1" customWidth="1"/>
    <col min="9" max="9" width="17.109375" style="4" bestFit="1" customWidth="1"/>
    <col min="10" max="10" width="7.109375" style="41" bestFit="1" customWidth="1"/>
    <col min="11" max="15" width="13" style="4" bestFit="1" customWidth="1"/>
    <col min="16" max="16" width="12" style="4" bestFit="1" customWidth="1"/>
    <col min="17" max="27" width="13" style="4" bestFit="1" customWidth="1"/>
    <col min="28" max="42" width="8.44140625" style="4" bestFit="1" customWidth="1"/>
    <col min="43" max="48" width="6.44140625" style="4" customWidth="1"/>
    <col min="49" max="53" width="9.109375" style="4"/>
    <col min="54" max="54" width="10.5546875" style="4" bestFit="1" customWidth="1"/>
    <col min="55" max="16384" width="9.109375" style="4"/>
  </cols>
  <sheetData>
    <row r="1" spans="1:54">
      <c r="A1" s="4" t="str">
        <f>IF(RES,"TS DATA","")</f>
        <v>TS DATA</v>
      </c>
      <c r="B1" s="4" t="s">
        <v>18</v>
      </c>
      <c r="J1" s="40"/>
    </row>
    <row r="2" spans="1:54" ht="15" thickBot="1">
      <c r="A2" s="4" t="s">
        <v>17</v>
      </c>
      <c r="B2" s="298" t="s">
        <v>198</v>
      </c>
      <c r="C2" s="298"/>
      <c r="I2" s="144"/>
      <c r="J2" s="4"/>
      <c r="BB2" s="4" t="s">
        <v>304</v>
      </c>
    </row>
    <row r="3" spans="1:54" ht="15" thickBot="1">
      <c r="A3" s="4" t="s">
        <v>17</v>
      </c>
      <c r="C3" s="20"/>
      <c r="D3" s="20"/>
      <c r="E3" s="14"/>
      <c r="F3" s="14"/>
      <c r="G3" s="14"/>
      <c r="H3" s="14"/>
      <c r="I3" s="174"/>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17</v>
      </c>
      <c r="C4" s="4" t="s">
        <v>404</v>
      </c>
      <c r="D4" s="15">
        <v>1</v>
      </c>
      <c r="E4" s="9">
        <v>2012</v>
      </c>
      <c r="F4" s="9">
        <v>2020</v>
      </c>
      <c r="G4" s="15">
        <v>2030</v>
      </c>
      <c r="H4" s="15">
        <v>2040</v>
      </c>
      <c r="I4" s="175">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17</v>
      </c>
      <c r="C5" s="4" t="s">
        <v>405</v>
      </c>
      <c r="D5" s="15">
        <v>0</v>
      </c>
      <c r="E5" s="4">
        <f>INDEX($E4:$I4,0,COUNT($E4:$I4)-E6)</f>
        <v>2050</v>
      </c>
      <c r="F5" s="4">
        <f>INDEX($E4:$I4,0,COUNT($E4:$I4)-F6)</f>
        <v>2040</v>
      </c>
      <c r="G5" s="4">
        <f>INDEX($E4:$I4,0,COUNT($E4:$I4)-G6)</f>
        <v>2030</v>
      </c>
      <c r="H5" s="4">
        <f>INDEX($E4:$I4,0,COUNT($E4:$I4)-H6)</f>
        <v>2020</v>
      </c>
      <c r="I5" s="144">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17</v>
      </c>
      <c r="C6" s="4" t="s">
        <v>403</v>
      </c>
      <c r="D6" s="15">
        <v>-1</v>
      </c>
      <c r="E6" s="4">
        <v>0</v>
      </c>
      <c r="F6" s="4">
        <v>1</v>
      </c>
      <c r="G6" s="4">
        <v>2</v>
      </c>
      <c r="H6" s="4">
        <v>3</v>
      </c>
      <c r="I6" s="144">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17</v>
      </c>
      <c r="C7" s="4" t="s">
        <v>406</v>
      </c>
      <c r="I7" s="144"/>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 thickBot="1">
      <c r="A8" s="4" t="s">
        <v>17</v>
      </c>
      <c r="B8" s="171"/>
      <c r="C8" s="20" t="s">
        <v>45</v>
      </c>
      <c r="D8" s="20"/>
      <c r="I8" s="144"/>
      <c r="J8" s="9"/>
    </row>
    <row r="9" spans="1:54">
      <c r="A9" s="4" t="s">
        <v>17</v>
      </c>
      <c r="C9" s="4" t="s">
        <v>42</v>
      </c>
      <c r="D9" s="4" t="s">
        <v>48</v>
      </c>
      <c r="J9" s="42"/>
      <c r="K9" s="172"/>
      <c r="L9" s="172"/>
      <c r="M9" s="172"/>
      <c r="N9" s="172"/>
      <c r="O9" s="172"/>
      <c r="P9" s="172"/>
      <c r="Q9" s="172"/>
      <c r="R9" s="172"/>
      <c r="S9" s="172"/>
      <c r="T9" s="172"/>
      <c r="U9" s="172"/>
      <c r="V9" s="172"/>
      <c r="W9" s="172"/>
      <c r="X9" s="172"/>
      <c r="Y9" s="172"/>
      <c r="Z9" s="172"/>
      <c r="AA9" s="172"/>
      <c r="AB9" s="172"/>
      <c r="AC9" s="172"/>
      <c r="AD9" s="172"/>
      <c r="AE9" s="172"/>
      <c r="AF9" s="172"/>
      <c r="AG9" s="172"/>
      <c r="AH9" s="172"/>
      <c r="AI9" s="172"/>
      <c r="AJ9" s="172"/>
      <c r="AK9" s="172"/>
      <c r="AL9" s="172"/>
      <c r="AM9" s="172"/>
      <c r="AN9" s="172"/>
      <c r="AO9" s="172"/>
      <c r="AP9" s="172"/>
      <c r="AQ9" s="172"/>
      <c r="AR9" s="172"/>
      <c r="AS9" s="172"/>
      <c r="AT9" s="172"/>
      <c r="AU9" s="172"/>
      <c r="AV9" s="172"/>
    </row>
    <row r="10" spans="1:54">
      <c r="A10" s="4" t="s">
        <v>17</v>
      </c>
      <c r="C10" s="4" t="s">
        <v>43</v>
      </c>
      <c r="D10" s="4" t="s">
        <v>48</v>
      </c>
    </row>
    <row r="11" spans="1:54">
      <c r="A11" s="4" t="s">
        <v>17</v>
      </c>
      <c r="C11" s="4" t="s">
        <v>44</v>
      </c>
      <c r="D11" s="4" t="s">
        <v>48</v>
      </c>
    </row>
    <row r="12" spans="1:54">
      <c r="A12" s="4" t="s">
        <v>17</v>
      </c>
    </row>
    <row r="13" spans="1:54" ht="18" thickBot="1">
      <c r="A13" s="4" t="s">
        <v>17</v>
      </c>
      <c r="B13" s="25"/>
      <c r="C13" s="38" t="s">
        <v>41</v>
      </c>
    </row>
    <row r="14" spans="1:54" ht="15.6" thickTop="1" thickBot="1">
      <c r="A14" s="4" t="s">
        <v>17</v>
      </c>
      <c r="C14" s="20" t="s">
        <v>47</v>
      </c>
      <c r="D14" s="4" t="s">
        <v>48</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17</v>
      </c>
    </row>
    <row r="16" spans="1:54" ht="15" thickBot="1">
      <c r="A16" s="4" t="s">
        <v>17</v>
      </c>
      <c r="C16" s="20" t="s">
        <v>58</v>
      </c>
      <c r="D16" s="20"/>
    </row>
    <row r="17" spans="1:48">
      <c r="A17" s="4" t="s">
        <v>17</v>
      </c>
      <c r="C17" s="4" t="s">
        <v>50</v>
      </c>
      <c r="D17" s="4" t="s">
        <v>49</v>
      </c>
      <c r="K17" s="129">
        <f>K22/K$25</f>
        <v>0.44199404226547495</v>
      </c>
      <c r="L17" s="129">
        <f t="shared" ref="L17:AP19" si="3">L22/L$25</f>
        <v>0.4367424749706425</v>
      </c>
      <c r="M17" s="129">
        <f t="shared" si="3"/>
        <v>0.42623934038097749</v>
      </c>
      <c r="N17" s="129">
        <f t="shared" si="3"/>
        <v>0.42098777308614493</v>
      </c>
      <c r="O17" s="129">
        <f t="shared" si="3"/>
        <v>0.41573620579131249</v>
      </c>
      <c r="P17" s="129">
        <f t="shared" si="3"/>
        <v>0.41048463849647993</v>
      </c>
      <c r="Q17" s="129">
        <f t="shared" si="3"/>
        <v>0.40523307120164748</v>
      </c>
      <c r="R17" s="129">
        <f t="shared" si="3"/>
        <v>0.39998150390681503</v>
      </c>
      <c r="S17" s="129">
        <f t="shared" si="3"/>
        <v>0.3957721816167904</v>
      </c>
      <c r="T17" s="129">
        <f t="shared" si="3"/>
        <v>0.39156285932676571</v>
      </c>
      <c r="U17" s="129">
        <f t="shared" si="3"/>
        <v>0.38735353703674108</v>
      </c>
      <c r="V17" s="129">
        <f t="shared" si="3"/>
        <v>0.38314421474671645</v>
      </c>
      <c r="W17" s="129">
        <f t="shared" si="3"/>
        <v>0.37893489245669182</v>
      </c>
      <c r="X17" s="129">
        <f t="shared" si="3"/>
        <v>0.37306190044045778</v>
      </c>
      <c r="Y17" s="129">
        <f t="shared" si="3"/>
        <v>0.36718890842422358</v>
      </c>
      <c r="Z17" s="129">
        <f t="shared" si="3"/>
        <v>0.36131591640798943</v>
      </c>
      <c r="AA17" s="129">
        <f t="shared" si="3"/>
        <v>0.35544292439175529</v>
      </c>
      <c r="AB17" s="129">
        <f t="shared" si="3"/>
        <v>0.3495699323755212</v>
      </c>
      <c r="AC17" s="129">
        <f t="shared" si="3"/>
        <v>0.34418625172088718</v>
      </c>
      <c r="AD17" s="129">
        <f t="shared" si="3"/>
        <v>0.33880257106625317</v>
      </c>
      <c r="AE17" s="129">
        <f t="shared" si="3"/>
        <v>0.33341889041161915</v>
      </c>
      <c r="AF17" s="129">
        <f t="shared" si="3"/>
        <v>0.32803520975698514</v>
      </c>
      <c r="AG17" s="129">
        <f t="shared" si="3"/>
        <v>0.32265152910235123</v>
      </c>
      <c r="AH17" s="129">
        <f t="shared" si="3"/>
        <v>0.31772921509357699</v>
      </c>
      <c r="AI17" s="129">
        <f t="shared" si="3"/>
        <v>0.31280690108480275</v>
      </c>
      <c r="AJ17" s="129">
        <f t="shared" si="3"/>
        <v>0.30788458707602856</v>
      </c>
      <c r="AK17" s="129">
        <f t="shared" si="3"/>
        <v>0.30296227306725426</v>
      </c>
      <c r="AL17" s="129">
        <f t="shared" si="3"/>
        <v>0.29803995905848013</v>
      </c>
      <c r="AM17" s="129">
        <f t="shared" si="3"/>
        <v>0.27688472904921468</v>
      </c>
      <c r="AN17" s="129">
        <f t="shared" si="3"/>
        <v>0.26022095199914791</v>
      </c>
      <c r="AO17" s="129">
        <f t="shared" si="3"/>
        <v>0.26022095199914791</v>
      </c>
      <c r="AP17" s="129">
        <f t="shared" si="3"/>
        <v>0.26022095199914791</v>
      </c>
      <c r="AQ17" s="129"/>
      <c r="AR17" s="129"/>
      <c r="AS17" s="129"/>
      <c r="AT17" s="129"/>
      <c r="AU17" s="129"/>
      <c r="AV17" s="129"/>
    </row>
    <row r="18" spans="1:48">
      <c r="A18" s="4" t="s">
        <v>17</v>
      </c>
      <c r="C18" s="4" t="s">
        <v>52</v>
      </c>
      <c r="D18" s="4" t="s">
        <v>49</v>
      </c>
      <c r="K18" s="129">
        <f t="shared" ref="K18:Z19" si="4">K23/K$25</f>
        <v>0.31999999999999995</v>
      </c>
      <c r="L18" s="129">
        <f t="shared" si="4"/>
        <v>0.32165051815421025</v>
      </c>
      <c r="M18" s="129">
        <f t="shared" si="4"/>
        <v>0.32495155446263063</v>
      </c>
      <c r="N18" s="129">
        <f t="shared" si="4"/>
        <v>0.32637807402302194</v>
      </c>
      <c r="O18" s="129">
        <f t="shared" si="4"/>
        <v>0.32780459358341313</v>
      </c>
      <c r="P18" s="129">
        <f t="shared" si="4"/>
        <v>0.32923111314380443</v>
      </c>
      <c r="Q18" s="129">
        <f t="shared" si="4"/>
        <v>0.33065763270419568</v>
      </c>
      <c r="R18" s="129">
        <f t="shared" si="4"/>
        <v>0.33208415226458682</v>
      </c>
      <c r="S18" s="129">
        <f t="shared" si="4"/>
        <v>0.33387800495682934</v>
      </c>
      <c r="T18" s="129">
        <f t="shared" si="4"/>
        <v>0.33567185764907187</v>
      </c>
      <c r="U18" s="129">
        <f t="shared" si="4"/>
        <v>0.3374657103413144</v>
      </c>
      <c r="V18" s="129">
        <f t="shared" si="4"/>
        <v>0.33925956303355698</v>
      </c>
      <c r="W18" s="129">
        <f t="shared" si="4"/>
        <v>0.34105341572579934</v>
      </c>
      <c r="X18" s="129">
        <f t="shared" si="4"/>
        <v>0.34279773267465991</v>
      </c>
      <c r="Y18" s="129">
        <f t="shared" si="4"/>
        <v>0.34454204962352036</v>
      </c>
      <c r="Z18" s="129">
        <f t="shared" si="4"/>
        <v>0.34628636657238088</v>
      </c>
      <c r="AA18" s="129">
        <f t="shared" si="3"/>
        <v>0.34803068352124139</v>
      </c>
      <c r="AB18" s="129">
        <f t="shared" si="3"/>
        <v>0.3497750004701019</v>
      </c>
      <c r="AC18" s="129">
        <f t="shared" si="3"/>
        <v>0.35156655448140028</v>
      </c>
      <c r="AD18" s="129">
        <f t="shared" si="3"/>
        <v>0.35335810849269866</v>
      </c>
      <c r="AE18" s="129">
        <f t="shared" si="3"/>
        <v>0.35514966250399704</v>
      </c>
      <c r="AF18" s="129">
        <f t="shared" si="3"/>
        <v>0.35694121651529542</v>
      </c>
      <c r="AG18" s="129">
        <f t="shared" si="3"/>
        <v>0.35873277052659369</v>
      </c>
      <c r="AH18" s="129">
        <f t="shared" si="3"/>
        <v>0.36058929219489327</v>
      </c>
      <c r="AI18" s="129">
        <f t="shared" si="3"/>
        <v>0.36244581386319286</v>
      </c>
      <c r="AJ18" s="129">
        <f t="shared" si="3"/>
        <v>0.36430233553149249</v>
      </c>
      <c r="AK18" s="129">
        <f t="shared" si="3"/>
        <v>0.36615885719979202</v>
      </c>
      <c r="AL18" s="129">
        <f t="shared" si="3"/>
        <v>0.36801537886809155</v>
      </c>
      <c r="AM18" s="129">
        <f t="shared" si="3"/>
        <v>0.37419458270562483</v>
      </c>
      <c r="AN18" s="129">
        <f t="shared" si="3"/>
        <v>0.38089684319851058</v>
      </c>
      <c r="AO18" s="129">
        <f t="shared" si="3"/>
        <v>0.38089684319851058</v>
      </c>
      <c r="AP18" s="129">
        <f t="shared" si="3"/>
        <v>0.38089684319851058</v>
      </c>
      <c r="AQ18" s="129"/>
      <c r="AR18" s="129"/>
      <c r="AS18" s="129"/>
      <c r="AT18" s="129"/>
      <c r="AU18" s="129"/>
      <c r="AV18" s="129"/>
    </row>
    <row r="19" spans="1:48">
      <c r="A19" s="4" t="s">
        <v>17</v>
      </c>
      <c r="C19" s="4" t="s">
        <v>51</v>
      </c>
      <c r="D19" s="4" t="s">
        <v>49</v>
      </c>
      <c r="K19" s="129">
        <f t="shared" si="4"/>
        <v>0.23800595773452501</v>
      </c>
      <c r="L19" s="129">
        <f t="shared" si="3"/>
        <v>0.24160700687514725</v>
      </c>
      <c r="M19" s="129">
        <f t="shared" si="3"/>
        <v>0.24880910515639185</v>
      </c>
      <c r="N19" s="129">
        <f t="shared" si="3"/>
        <v>0.25263415289083313</v>
      </c>
      <c r="O19" s="129">
        <f t="shared" si="3"/>
        <v>0.25645920062527439</v>
      </c>
      <c r="P19" s="129">
        <f t="shared" si="3"/>
        <v>0.26028424835971559</v>
      </c>
      <c r="Q19" s="129">
        <f t="shared" si="3"/>
        <v>0.2641092960941569</v>
      </c>
      <c r="R19" s="129">
        <f t="shared" si="3"/>
        <v>0.26793434382859821</v>
      </c>
      <c r="S19" s="129">
        <f t="shared" si="3"/>
        <v>0.27034981342638031</v>
      </c>
      <c r="T19" s="129">
        <f t="shared" si="3"/>
        <v>0.27276528302416247</v>
      </c>
      <c r="U19" s="129">
        <f t="shared" si="3"/>
        <v>0.27518075262194452</v>
      </c>
      <c r="V19" s="129">
        <f t="shared" si="3"/>
        <v>0.27759622221972663</v>
      </c>
      <c r="W19" s="129">
        <f t="shared" si="3"/>
        <v>0.28001169181750885</v>
      </c>
      <c r="X19" s="129">
        <f t="shared" si="3"/>
        <v>0.28414036688488248</v>
      </c>
      <c r="Y19" s="129">
        <f t="shared" si="3"/>
        <v>0.288269041952256</v>
      </c>
      <c r="Z19" s="129">
        <f t="shared" si="3"/>
        <v>0.29239771701962969</v>
      </c>
      <c r="AA19" s="129">
        <f t="shared" si="3"/>
        <v>0.29652639208700338</v>
      </c>
      <c r="AB19" s="129">
        <f t="shared" si="3"/>
        <v>0.30065506715437684</v>
      </c>
      <c r="AC19" s="129">
        <f t="shared" si="3"/>
        <v>0.30424719379771253</v>
      </c>
      <c r="AD19" s="129">
        <f t="shared" si="3"/>
        <v>0.30783932044104811</v>
      </c>
      <c r="AE19" s="129">
        <f t="shared" si="3"/>
        <v>0.31143144708438375</v>
      </c>
      <c r="AF19" s="129">
        <f t="shared" si="3"/>
        <v>0.31502357372771939</v>
      </c>
      <c r="AG19" s="129">
        <f t="shared" si="3"/>
        <v>0.31861570037105502</v>
      </c>
      <c r="AH19" s="129">
        <f t="shared" si="3"/>
        <v>0.32168149271152968</v>
      </c>
      <c r="AI19" s="129">
        <f t="shared" si="3"/>
        <v>0.32474728505200434</v>
      </c>
      <c r="AJ19" s="129">
        <f t="shared" si="3"/>
        <v>0.32781307739247906</v>
      </c>
      <c r="AK19" s="129">
        <f t="shared" si="3"/>
        <v>0.33087886973295366</v>
      </c>
      <c r="AL19" s="129">
        <f t="shared" si="3"/>
        <v>0.33394466207342832</v>
      </c>
      <c r="AM19" s="129">
        <f t="shared" si="3"/>
        <v>0.34892068824516054</v>
      </c>
      <c r="AN19" s="129">
        <f t="shared" si="3"/>
        <v>0.35888220480234145</v>
      </c>
      <c r="AO19" s="129">
        <f t="shared" si="3"/>
        <v>0.35888220480234145</v>
      </c>
      <c r="AP19" s="129">
        <f t="shared" si="3"/>
        <v>0.35888220480234145</v>
      </c>
      <c r="AQ19" s="129"/>
      <c r="AR19" s="129"/>
      <c r="AS19" s="129"/>
      <c r="AT19" s="129"/>
      <c r="AU19" s="129"/>
      <c r="AV19" s="129"/>
    </row>
    <row r="20" spans="1:48">
      <c r="A20" s="4" t="s">
        <v>17</v>
      </c>
      <c r="K20" s="5"/>
      <c r="Q20" s="5"/>
    </row>
    <row r="21" spans="1:48" ht="15" thickBot="1">
      <c r="A21" s="4" t="s">
        <v>17</v>
      </c>
      <c r="B21" s="20" t="s">
        <v>57</v>
      </c>
      <c r="D21" s="20"/>
      <c r="E21" s="4">
        <v>2012</v>
      </c>
      <c r="F21" s="4">
        <v>2020</v>
      </c>
      <c r="G21" s="4">
        <v>2030</v>
      </c>
      <c r="H21" s="4">
        <v>2040</v>
      </c>
      <c r="I21" s="4">
        <v>2050</v>
      </c>
      <c r="J21" s="41">
        <f>MATCH(J3,MCEcon!$C$42:$AG$42,0)</f>
        <v>1</v>
      </c>
      <c r="K21" s="41">
        <f>MATCH(K3,MCEcon!$C$42:$AG$42,0)</f>
        <v>2</v>
      </c>
      <c r="L21" s="41">
        <f>MATCH(L3,MCEcon!$C$42:$AG$42,0)</f>
        <v>3</v>
      </c>
      <c r="M21" s="41">
        <f>MATCH(M3,MCEcon!$C$42:$AG$42,0)</f>
        <v>4</v>
      </c>
      <c r="N21" s="41">
        <f>MATCH(N3,MCEcon!$C$42:$AG$42,0)</f>
        <v>5</v>
      </c>
      <c r="O21" s="41">
        <f>MATCH(O3,MCEcon!$C$42:$AG$42,0)</f>
        <v>6</v>
      </c>
      <c r="P21" s="41">
        <f>MATCH(P3,MCEcon!$C$42:$AG$42,0)</f>
        <v>7</v>
      </c>
      <c r="Q21" s="41">
        <f>MATCH(Q3,MCEcon!$C$42:$AG$42,0)</f>
        <v>8</v>
      </c>
      <c r="R21" s="41">
        <f>MATCH(R3,MCEcon!$C$42:$AG$42,0)</f>
        <v>9</v>
      </c>
      <c r="S21" s="41">
        <f>MATCH(S3,MCEcon!$C$42:$AG$42,0)</f>
        <v>10</v>
      </c>
      <c r="T21" s="41">
        <f>MATCH(T3,MCEcon!$C$42:$AG$42,0)</f>
        <v>11</v>
      </c>
      <c r="U21" s="41">
        <f>MATCH(U3,MCEcon!$C$42:$AG$42,0)</f>
        <v>12</v>
      </c>
      <c r="V21" s="41">
        <f>MATCH(V3,MCEcon!$C$42:$AG$42,0)</f>
        <v>13</v>
      </c>
      <c r="W21" s="41">
        <f>MATCH(W3,MCEcon!$C$42:$AG$42,0)</f>
        <v>14</v>
      </c>
      <c r="X21" s="41">
        <f>MATCH(X3,MCEcon!$C$42:$AG$42,0)</f>
        <v>15</v>
      </c>
      <c r="Y21" s="41">
        <f>MATCH(Y3,MCEcon!$C$42:$AG$42,0)</f>
        <v>16</v>
      </c>
      <c r="Z21" s="41">
        <f>MATCH(Z3,MCEcon!$C$42:$AG$42,0)</f>
        <v>17</v>
      </c>
      <c r="AA21" s="41">
        <f>MATCH(AA3,MCEcon!$C$42:$AG$42,0)</f>
        <v>18</v>
      </c>
      <c r="AB21" s="41">
        <f>MATCH(AB3,MCEcon!$C$42:$AG$42,0)</f>
        <v>19</v>
      </c>
      <c r="AC21" s="41">
        <f>MATCH(AC3,MCEcon!$C$42:$AG$42,0)</f>
        <v>20</v>
      </c>
      <c r="AD21" s="41">
        <f>MATCH(AD3,MCEcon!$C$42:$AG$42,0)</f>
        <v>21</v>
      </c>
      <c r="AE21" s="41">
        <f>MATCH(AE3,MCEcon!$C$42:$AG$42,0)</f>
        <v>22</v>
      </c>
      <c r="AF21" s="41">
        <f>MATCH(AF3,MCEcon!$C$42:$AG$42,0)</f>
        <v>23</v>
      </c>
      <c r="AG21" s="41">
        <f>MATCH(AG3,MCEcon!$C$42:$AG$42,0)</f>
        <v>24</v>
      </c>
      <c r="AH21" s="41">
        <f>MATCH(AH3,MCEcon!$C$42:$AG$42,0)</f>
        <v>25</v>
      </c>
      <c r="AI21" s="41">
        <f>MATCH(AI3,MCEcon!$C$42:$AG$42,0)</f>
        <v>26</v>
      </c>
      <c r="AJ21" s="41">
        <f>MATCH(AJ3,MCEcon!$C$42:$AG$42,0)</f>
        <v>27</v>
      </c>
      <c r="AK21" s="41">
        <f>MATCH(AK3,MCEcon!$C$42:$AG$42,0)</f>
        <v>28</v>
      </c>
      <c r="AL21" s="41">
        <f>MATCH(AL3,MCEcon!$C$42:$AG$42,0)</f>
        <v>29</v>
      </c>
      <c r="AM21" s="41">
        <f>MATCH(AM3,MCEcon!$C$42:$AG$42,0)</f>
        <v>30</v>
      </c>
      <c r="AN21" s="41">
        <f>MATCH(AN3,MCEcon!$C$42:$AG$42,0)</f>
        <v>31</v>
      </c>
      <c r="AO21" s="7">
        <f>AN21+1</f>
        <v>32</v>
      </c>
      <c r="AP21" s="7">
        <f>AO21+1</f>
        <v>33</v>
      </c>
      <c r="AQ21" s="7"/>
      <c r="AR21" s="7"/>
      <c r="AS21" s="7"/>
      <c r="AT21" s="7"/>
      <c r="AU21" s="7"/>
      <c r="AV21" s="7"/>
    </row>
    <row r="22" spans="1:48">
      <c r="A22" s="4" t="s">
        <v>17</v>
      </c>
      <c r="B22" s="56">
        <v>1</v>
      </c>
      <c r="C22" s="4" t="s">
        <v>8</v>
      </c>
      <c r="D22" s="4" t="s">
        <v>48</v>
      </c>
      <c r="E22" s="10">
        <f>SUMIF($J$3:$AV$3,E$21,$J22:$AV22)</f>
        <v>23.44</v>
      </c>
      <c r="F22" s="10">
        <f>SUMIF($J$3:$AV$3,F$21,$J22:$AV22)</f>
        <v>22.864075230945556</v>
      </c>
      <c r="G22" s="10">
        <f>SUMIF($J$3:$AV$3,G$21,$J22:$AV22)</f>
        <v>21.95519667252259</v>
      </c>
      <c r="H22" s="10">
        <f>SUMIF($J$3:$AV$3,H$21,$J22:$AV22)</f>
        <v>20.44192609486554</v>
      </c>
      <c r="I22" s="24">
        <f>SUMIF($J$3:$AV$3,I$21,$J22:$AV22)</f>
        <v>19.567629204601904</v>
      </c>
      <c r="J22" s="68">
        <f>INDEX(MCEcon!$C$65:$AG$67,$B22,J$21)</f>
        <v>23.44</v>
      </c>
      <c r="K22" s="68">
        <f>INDEX(MCEcon!$C$65:$AG$67,$B22,K$21)</f>
        <v>23.654811604208962</v>
      </c>
      <c r="L22" s="68">
        <f>INDEX(MCEcon!$C$65:$AG$67,$B22,L$21)</f>
        <v>23.586015465791359</v>
      </c>
      <c r="M22" s="68">
        <f>INDEX(MCEcon!$C$65:$AG$67,$B22,M$21)</f>
        <v>23.22595471053166</v>
      </c>
      <c r="N22" s="68">
        <f>INDEX(MCEcon!$C$65:$AG$67,$B22,N$21)</f>
        <v>23.164806351657127</v>
      </c>
      <c r="O22" s="68">
        <f>INDEX(MCEcon!$C$65:$AG$67,$B22,O$21)</f>
        <v>23.098044224261255</v>
      </c>
      <c r="P22" s="68">
        <f>INDEX(MCEcon!$C$65:$AG$67,$B22,P$21)</f>
        <v>23.025668328344032</v>
      </c>
      <c r="Q22" s="68">
        <f>INDEX(MCEcon!$C$65:$AG$67,$B22,Q$21)</f>
        <v>22.947678663905467</v>
      </c>
      <c r="R22" s="68">
        <f>INDEX(MCEcon!$C$65:$AG$67,$B22,R$21)</f>
        <v>22.864075230945556</v>
      </c>
      <c r="S22" s="68">
        <f>INDEX(MCEcon!$C$65:$AG$67,$B22,S$21)</f>
        <v>22.837871305003475</v>
      </c>
      <c r="T22" s="68">
        <f>INDEX(MCEcon!$C$65:$AG$67,$B22,T$21)</f>
        <v>22.807106508704283</v>
      </c>
      <c r="U22" s="68">
        <f>INDEX(MCEcon!$C$65:$AG$67,$B22,U$21)</f>
        <v>22.771780842047988</v>
      </c>
      <c r="V22" s="68">
        <f>INDEX(MCEcon!$C$65:$AG$67,$B22,V$21)</f>
        <v>22.731894305034583</v>
      </c>
      <c r="W22" s="68">
        <f>INDEX(MCEcon!$C$65:$AG$67,$B22,W$21)</f>
        <v>22.687446897664081</v>
      </c>
      <c r="X22" s="68">
        <f>INDEX(MCEcon!$C$65:$AG$67,$B22,X$21)</f>
        <v>22.554785157191155</v>
      </c>
      <c r="Y22" s="68">
        <f>INDEX(MCEcon!$C$65:$AG$67,$B22,Y$21)</f>
        <v>22.415229264440541</v>
      </c>
      <c r="Z22" s="68">
        <f>INDEX(MCEcon!$C$65:$AG$67,$B22,Z$21)</f>
        <v>22.268779219412242</v>
      </c>
      <c r="AA22" s="68">
        <f>INDEX(MCEcon!$C$65:$AG$67,$B22,AA$21)</f>
        <v>22.115435022106258</v>
      </c>
      <c r="AB22" s="68">
        <f>INDEX(MCEcon!$C$65:$AG$67,$B22,AB$21)</f>
        <v>21.95519667252259</v>
      </c>
      <c r="AC22" s="68">
        <f>INDEX(MCEcon!$C$65:$AG$67,$B22,AC$21)</f>
        <v>21.812224745052088</v>
      </c>
      <c r="AD22" s="68">
        <f>INDEX(MCEcon!$C$65:$AG$67,$B22,AD$21)</f>
        <v>21.663147612018626</v>
      </c>
      <c r="AE22" s="68">
        <f>INDEX(MCEcon!$C$65:$AG$67,$B22,AE$21)</f>
        <v>21.507965273422201</v>
      </c>
      <c r="AF22" s="68">
        <f>INDEX(MCEcon!$C$65:$AG$67,$B22,AF$21)</f>
        <v>21.346677729262815</v>
      </c>
      <c r="AG22" s="68">
        <f>INDEX(MCEcon!$C$65:$AG$67,$B22,AG$21)</f>
        <v>21.17928497954048</v>
      </c>
      <c r="AH22" s="68">
        <f>INDEX(MCEcon!$C$65:$AG$67,$B22,AH$21)</f>
        <v>21.043416124660851</v>
      </c>
      <c r="AI22" s="68">
        <f>INDEX(MCEcon!$C$65:$AG$67,$B22,AI$21)</f>
        <v>20.901745808753542</v>
      </c>
      <c r="AJ22" s="68">
        <f>INDEX(MCEcon!$C$65:$AG$67,$B22,AJ$21)</f>
        <v>20.754274031818554</v>
      </c>
      <c r="AK22" s="68">
        <f>INDEX(MCEcon!$C$65:$AG$67,$B22,AK$21)</f>
        <v>20.601000793855889</v>
      </c>
      <c r="AL22" s="68">
        <f>INDEX(MCEcon!$C$65:$AG$67,$B22,AL$21)</f>
        <v>20.44192609486554</v>
      </c>
      <c r="AM22" s="68">
        <f>INDEX(MCEcon!$C$65:$AG$67,$B22,AM$21)</f>
        <v>19.922242874775861</v>
      </c>
      <c r="AN22" s="68">
        <f>INDEX(MCEcon!$C$65:$AG$67,$B22,AN$21)</f>
        <v>19.567629204601904</v>
      </c>
      <c r="AO22" s="68">
        <f t="shared" ref="AO22:AP24" si="5">AN22</f>
        <v>19.567629204601904</v>
      </c>
      <c r="AP22" s="68">
        <f t="shared" si="5"/>
        <v>19.567629204601904</v>
      </c>
      <c r="AQ22" s="68"/>
      <c r="AR22" s="68"/>
      <c r="AS22" s="68"/>
      <c r="AT22" s="68"/>
      <c r="AU22" s="68"/>
      <c r="AV22" s="68"/>
    </row>
    <row r="23" spans="1:48">
      <c r="A23" s="4" t="s">
        <v>17</v>
      </c>
      <c r="B23" s="56">
        <v>2</v>
      </c>
      <c r="C23" s="4" t="s">
        <v>9</v>
      </c>
      <c r="D23" s="4" t="s">
        <v>48</v>
      </c>
      <c r="E23" s="10">
        <f>SUMIF($J$3:$AV$3,E$21,$J23:$AV23)</f>
        <v>16.970364490783776</v>
      </c>
      <c r="F23" s="10">
        <f t="shared" ref="F23:I24" si="6">SUMIF($J$3:$AV$3,F$21,$J23:$AV23)</f>
        <v>18.982870373304088</v>
      </c>
      <c r="G23" s="10">
        <f t="shared" si="6"/>
        <v>21.968076242333368</v>
      </c>
      <c r="H23" s="10">
        <f t="shared" si="6"/>
        <v>25.241391122052022</v>
      </c>
      <c r="I23" s="24">
        <f t="shared" si="6"/>
        <v>28.64199879238107</v>
      </c>
      <c r="J23" s="68">
        <f>INDEX(MCEcon!$C$65:$AG$67,$B23,J$21)</f>
        <v>16.970364490783776</v>
      </c>
      <c r="K23" s="68">
        <f>INDEX(MCEcon!$C$65:$AG$67,$B23,K$21)</f>
        <v>17.125886300522517</v>
      </c>
      <c r="L23" s="68">
        <f>INDEX(MCEcon!$C$65:$AG$67,$B23,L$21)</f>
        <v>17.370543353437203</v>
      </c>
      <c r="M23" s="68">
        <f>INDEX(MCEcon!$C$65:$AG$67,$B23,M$21)</f>
        <v>17.706742132999857</v>
      </c>
      <c r="N23" s="68">
        <f>INDEX(MCEcon!$C$65:$AG$67,$B23,N$21)</f>
        <v>17.958917967489398</v>
      </c>
      <c r="O23" s="68">
        <f>INDEX(MCEcon!$C$65:$AG$67,$B23,O$21)</f>
        <v>18.212618708764591</v>
      </c>
      <c r="P23" s="68">
        <f>INDEX(MCEcon!$C$65:$AG$67,$B23,P$21)</f>
        <v>18.467844356825442</v>
      </c>
      <c r="Q23" s="68">
        <f>INDEX(MCEcon!$C$65:$AG$67,$B23,Q$21)</f>
        <v>18.724594911671943</v>
      </c>
      <c r="R23" s="68">
        <f>INDEX(MCEcon!$C$65:$AG$67,$B23,R$21)</f>
        <v>18.982870373304088</v>
      </c>
      <c r="S23" s="68">
        <f>INDEX(MCEcon!$C$65:$AG$67,$B23,S$21)</f>
        <v>19.266293243819774</v>
      </c>
      <c r="T23" s="68">
        <f>INDEX(MCEcon!$C$65:$AG$67,$B23,T$21)</f>
        <v>19.551659783412177</v>
      </c>
      <c r="U23" s="68">
        <f>INDEX(MCEcon!$C$65:$AG$67,$B23,U$21)</f>
        <v>19.838969992081299</v>
      </c>
      <c r="V23" s="68">
        <f>INDEX(MCEcon!$C$65:$AG$67,$B23,V$21)</f>
        <v>20.128223869827142</v>
      </c>
      <c r="W23" s="68">
        <f>INDEX(MCEcon!$C$65:$AG$67,$B23,W$21)</f>
        <v>20.419421416649701</v>
      </c>
      <c r="X23" s="68">
        <f>INDEX(MCEcon!$C$65:$AG$67,$B23,X$21)</f>
        <v>20.725057165367698</v>
      </c>
      <c r="Y23" s="68">
        <f>INDEX(MCEcon!$C$65:$AG$67,$B23,Y$21)</f>
        <v>21.032740522295065</v>
      </c>
      <c r="Z23" s="68">
        <f>INDEX(MCEcon!$C$65:$AG$67,$B23,Z$21)</f>
        <v>21.342471487431798</v>
      </c>
      <c r="AA23" s="68">
        <f>INDEX(MCEcon!$C$65:$AG$67,$B23,AA$21)</f>
        <v>21.654250060777901</v>
      </c>
      <c r="AB23" s="68">
        <f>INDEX(MCEcon!$C$65:$AG$67,$B23,AB$21)</f>
        <v>21.968076242333368</v>
      </c>
      <c r="AC23" s="68">
        <f>INDEX(MCEcon!$C$65:$AG$67,$B23,AC$21)</f>
        <v>22.279939018048051</v>
      </c>
      <c r="AD23" s="68">
        <f>INDEX(MCEcon!$C$65:$AG$67,$B23,AD$21)</f>
        <v>22.593833453182711</v>
      </c>
      <c r="AE23" s="68">
        <f>INDEX(MCEcon!$C$65:$AG$67,$B23,AE$21)</f>
        <v>22.909759547737345</v>
      </c>
      <c r="AF23" s="68">
        <f>INDEX(MCEcon!$C$65:$AG$67,$B23,AF$21)</f>
        <v>23.227717301711952</v>
      </c>
      <c r="AG23" s="68">
        <f>INDEX(MCEcon!$C$65:$AG$67,$B23,AG$21)</f>
        <v>23.547706715106532</v>
      </c>
      <c r="AH23" s="68">
        <f>INDEX(MCEcon!$C$65:$AG$67,$B23,AH$21)</f>
        <v>23.882067387222317</v>
      </c>
      <c r="AI23" s="68">
        <f>INDEX(MCEcon!$C$65:$AG$67,$B23,AI$21)</f>
        <v>24.218616163974762</v>
      </c>
      <c r="AJ23" s="68">
        <f>INDEX(MCEcon!$C$65:$AG$67,$B23,AJ$21)</f>
        <v>24.557353045363861</v>
      </c>
      <c r="AK23" s="68">
        <f>INDEX(MCEcon!$C$65:$AG$67,$B23,AK$21)</f>
        <v>24.898278031389619</v>
      </c>
      <c r="AL23" s="68">
        <f>INDEX(MCEcon!$C$65:$AG$67,$B23,AL$21)</f>
        <v>25.241391122052022</v>
      </c>
      <c r="AM23" s="68">
        <f>INDEX(MCEcon!$C$65:$AG$67,$B23,AM$21)</f>
        <v>26.923822721049429</v>
      </c>
      <c r="AN23" s="68">
        <f>INDEX(MCEcon!$C$65:$AG$67,$B23,AN$21)</f>
        <v>28.64199879238107</v>
      </c>
      <c r="AO23" s="68">
        <f t="shared" si="5"/>
        <v>28.64199879238107</v>
      </c>
      <c r="AP23" s="68">
        <f t="shared" si="5"/>
        <v>28.64199879238107</v>
      </c>
      <c r="AQ23" s="68"/>
      <c r="AR23" s="68"/>
      <c r="AS23" s="68"/>
      <c r="AT23" s="68"/>
      <c r="AU23" s="68"/>
      <c r="AV23" s="68"/>
    </row>
    <row r="24" spans="1:48">
      <c r="A24" s="4" t="s">
        <v>17</v>
      </c>
      <c r="B24" s="56">
        <v>3</v>
      </c>
      <c r="C24" s="4" t="s">
        <v>424</v>
      </c>
      <c r="D24" s="4" t="s">
        <v>48</v>
      </c>
      <c r="E24" s="10">
        <f>SUMIF($J$3:$AV$3,E$21,$J24:$AV24)</f>
        <v>12.622024542915524</v>
      </c>
      <c r="F24" s="10">
        <f t="shared" si="6"/>
        <v>15.315885695750353</v>
      </c>
      <c r="G24" s="10">
        <f t="shared" si="6"/>
        <v>18.883034605144044</v>
      </c>
      <c r="H24" s="10">
        <f t="shared" si="6"/>
        <v>22.904553213082437</v>
      </c>
      <c r="I24" s="24">
        <f t="shared" si="6"/>
        <v>26.986581433017019</v>
      </c>
      <c r="J24" s="68">
        <f>INDEX(MCEcon!$C$65:$AG$67,$B24,J$21)</f>
        <v>12.622024542915524</v>
      </c>
      <c r="K24" s="68">
        <f>INDEX(MCEcon!$C$65:$AG$67,$B24,K$21)</f>
        <v>12.737696784401386</v>
      </c>
      <c r="L24" s="68">
        <f>INDEX(MCEcon!$C$65:$AG$67,$B24,L$21)</f>
        <v>13.047841525337866</v>
      </c>
      <c r="M24" s="68">
        <f>INDEX(MCEcon!$C$65:$AG$67,$B24,M$21)</f>
        <v>13.557709156468487</v>
      </c>
      <c r="N24" s="68">
        <f>INDEX(MCEcon!$C$65:$AG$67,$B24,N$21)</f>
        <v>13.901166740853478</v>
      </c>
      <c r="O24" s="68">
        <f>INDEX(MCEcon!$C$65:$AG$67,$B24,O$21)</f>
        <v>14.248713186974159</v>
      </c>
      <c r="P24" s="68">
        <f>INDEX(MCEcon!$C$65:$AG$67,$B24,P$21)</f>
        <v>14.600348494830532</v>
      </c>
      <c r="Q24" s="68">
        <f>INDEX(MCEcon!$C$65:$AG$67,$B24,Q$21)</f>
        <v>14.956072664422598</v>
      </c>
      <c r="R24" s="68">
        <f>INDEX(MCEcon!$C$65:$AG$67,$B24,R$21)</f>
        <v>15.315885695750353</v>
      </c>
      <c r="S24" s="68">
        <f>INDEX(MCEcon!$C$65:$AG$67,$B24,S$21)</f>
        <v>15.600425025176749</v>
      </c>
      <c r="T24" s="68">
        <f>INDEX(MCEcon!$C$65:$AG$67,$B24,T$21)</f>
        <v>15.887581555883536</v>
      </c>
      <c r="U24" s="68">
        <f>INDEX(MCEcon!$C$65:$AG$67,$B24,U$21)</f>
        <v>16.1773552878707</v>
      </c>
      <c r="V24" s="68">
        <f>INDEX(MCEcon!$C$65:$AG$67,$B24,V$21)</f>
        <v>16.469746221138255</v>
      </c>
      <c r="W24" s="68">
        <f>INDEX(MCEcon!$C$65:$AG$67,$B24,W$21)</f>
        <v>16.764754355686215</v>
      </c>
      <c r="X24" s="68">
        <f>INDEX(MCEcon!$C$65:$AG$67,$B24,X$21)</f>
        <v>17.178717317441144</v>
      </c>
      <c r="Y24" s="68">
        <f>INDEX(MCEcon!$C$65:$AG$67,$B24,Y$21)</f>
        <v>17.597526823264392</v>
      </c>
      <c r="Z24" s="68">
        <f>INDEX(MCEcon!$C$65:$AG$67,$B24,Z$21)</f>
        <v>18.021182873155965</v>
      </c>
      <c r="AA24" s="68">
        <f>INDEX(MCEcon!$C$65:$AG$67,$B24,AA$21)</f>
        <v>18.449685467115852</v>
      </c>
      <c r="AB24" s="68">
        <f>INDEX(MCEcon!$C$65:$AG$67,$B24,AB$21)</f>
        <v>18.883034605144044</v>
      </c>
      <c r="AC24" s="68">
        <f>INDEX(MCEcon!$C$65:$AG$67,$B24,AC$21)</f>
        <v>19.281154130899861</v>
      </c>
      <c r="AD24" s="68">
        <f>INDEX(MCEcon!$C$65:$AG$67,$B24,AD$21)</f>
        <v>19.683347202798661</v>
      </c>
      <c r="AE24" s="68">
        <f>INDEX(MCEcon!$C$65:$AG$67,$B24,AE$21)</f>
        <v>20.089613820840444</v>
      </c>
      <c r="AF24" s="68">
        <f>INDEX(MCEcon!$C$65:$AG$67,$B24,AF$21)</f>
        <v>20.499953985025215</v>
      </c>
      <c r="AG24" s="68">
        <f>INDEX(MCEcon!$C$65:$AG$67,$B24,AG$21)</f>
        <v>20.914367695352976</v>
      </c>
      <c r="AH24" s="68">
        <f>INDEX(MCEcon!$C$65:$AG$67,$B24,AH$21)</f>
        <v>21.305178086116825</v>
      </c>
      <c r="AI24" s="68">
        <f>INDEX(MCEcon!$C$65:$AG$67,$B24,AI$21)</f>
        <v>21.699601833271696</v>
      </c>
      <c r="AJ24" s="68">
        <f>INDEX(MCEcon!$C$65:$AG$67,$B24,AJ$21)</f>
        <v>22.097638936817589</v>
      </c>
      <c r="AK24" s="68">
        <f>INDEX(MCEcon!$C$65:$AG$67,$B24,AK$21)</f>
        <v>22.499289396754506</v>
      </c>
      <c r="AL24" s="68">
        <f>INDEX(MCEcon!$C$65:$AG$67,$B24,AL$21)</f>
        <v>22.904553213082437</v>
      </c>
      <c r="AM24" s="68">
        <f>INDEX(MCEcon!$C$65:$AG$67,$B24,AM$21)</f>
        <v>25.10533072417471</v>
      </c>
      <c r="AN24" s="68">
        <f>INDEX(MCEcon!$C$65:$AG$67,$B24,AN$21)</f>
        <v>26.986581433017019</v>
      </c>
      <c r="AO24" s="68">
        <f t="shared" si="5"/>
        <v>26.986581433017019</v>
      </c>
      <c r="AP24" s="68">
        <f t="shared" si="5"/>
        <v>26.986581433017019</v>
      </c>
      <c r="AQ24" s="68"/>
      <c r="AR24" s="68"/>
      <c r="AS24" s="68"/>
      <c r="AT24" s="68"/>
      <c r="AU24" s="68"/>
      <c r="AV24" s="68"/>
    </row>
    <row r="25" spans="1:48">
      <c r="A25" s="4" t="s">
        <v>17</v>
      </c>
      <c r="E25" s="49">
        <f t="shared" ref="E25:K25" si="7">SUM(E22:E24)</f>
        <v>53.032389033699303</v>
      </c>
      <c r="F25" s="49">
        <f t="shared" si="7"/>
        <v>57.162831299999993</v>
      </c>
      <c r="G25" s="49">
        <f t="shared" si="7"/>
        <v>62.806307520000004</v>
      </c>
      <c r="H25" s="49">
        <f t="shared" si="7"/>
        <v>68.587870429999995</v>
      </c>
      <c r="I25" s="49">
        <f t="shared" si="7"/>
        <v>75.196209429999996</v>
      </c>
      <c r="J25" s="133">
        <f t="shared" si="7"/>
        <v>53.032389033699303</v>
      </c>
      <c r="K25" s="133">
        <f t="shared" si="7"/>
        <v>53.518394689132869</v>
      </c>
      <c r="L25" s="133">
        <f t="shared" ref="L25:AP25" si="8">SUM(L22:L24)</f>
        <v>54.004400344566427</v>
      </c>
      <c r="M25" s="133">
        <f t="shared" si="8"/>
        <v>54.490406000000007</v>
      </c>
      <c r="N25" s="133">
        <f t="shared" si="8"/>
        <v>55.024891060000002</v>
      </c>
      <c r="O25" s="133">
        <f t="shared" si="8"/>
        <v>55.559376120000003</v>
      </c>
      <c r="P25" s="133">
        <f t="shared" si="8"/>
        <v>56.093861180000012</v>
      </c>
      <c r="Q25" s="133">
        <f t="shared" si="8"/>
        <v>56.628346240000006</v>
      </c>
      <c r="R25" s="133">
        <f t="shared" si="8"/>
        <v>57.162831299999993</v>
      </c>
      <c r="S25" s="133">
        <f t="shared" si="8"/>
        <v>57.704589573999996</v>
      </c>
      <c r="T25" s="133">
        <f t="shared" si="8"/>
        <v>58.246347847999992</v>
      </c>
      <c r="U25" s="133">
        <f t="shared" si="8"/>
        <v>58.788106121999988</v>
      </c>
      <c r="V25" s="133">
        <f t="shared" si="8"/>
        <v>59.329864395999977</v>
      </c>
      <c r="W25" s="133">
        <f t="shared" si="8"/>
        <v>59.871622670000001</v>
      </c>
      <c r="X25" s="133">
        <f t="shared" si="8"/>
        <v>60.45855963999999</v>
      </c>
      <c r="Y25" s="133">
        <f t="shared" si="8"/>
        <v>61.045496610000001</v>
      </c>
      <c r="Z25" s="133">
        <f t="shared" si="8"/>
        <v>61.632433580000004</v>
      </c>
      <c r="AA25" s="133">
        <f t="shared" si="8"/>
        <v>62.219370550000008</v>
      </c>
      <c r="AB25" s="133">
        <f t="shared" si="8"/>
        <v>62.806307520000004</v>
      </c>
      <c r="AC25" s="133">
        <f t="shared" si="8"/>
        <v>63.373317893999996</v>
      </c>
      <c r="AD25" s="133">
        <f t="shared" si="8"/>
        <v>63.940328268000002</v>
      </c>
      <c r="AE25" s="133">
        <f t="shared" si="8"/>
        <v>64.507338641999993</v>
      </c>
      <c r="AF25" s="133">
        <f t="shared" si="8"/>
        <v>65.074349015999985</v>
      </c>
      <c r="AG25" s="133">
        <f t="shared" si="8"/>
        <v>65.641359389999991</v>
      </c>
      <c r="AH25" s="133">
        <f t="shared" si="8"/>
        <v>66.230661597999998</v>
      </c>
      <c r="AI25" s="133">
        <f t="shared" si="8"/>
        <v>66.819963806000004</v>
      </c>
      <c r="AJ25" s="133">
        <f t="shared" si="8"/>
        <v>67.409266013999996</v>
      </c>
      <c r="AK25" s="133">
        <f t="shared" si="8"/>
        <v>67.998568222000017</v>
      </c>
      <c r="AL25" s="133">
        <f t="shared" si="8"/>
        <v>68.587870429999995</v>
      </c>
      <c r="AM25" s="133">
        <f t="shared" si="8"/>
        <v>71.951396320000001</v>
      </c>
      <c r="AN25" s="133">
        <f t="shared" si="8"/>
        <v>75.196209429999996</v>
      </c>
      <c r="AO25" s="133">
        <f t="shared" si="8"/>
        <v>75.196209429999996</v>
      </c>
      <c r="AP25" s="133">
        <f t="shared" si="8"/>
        <v>75.196209429999996</v>
      </c>
      <c r="AQ25" s="133"/>
      <c r="AR25" s="133"/>
      <c r="AS25" s="133"/>
      <c r="AT25" s="133"/>
      <c r="AU25" s="133"/>
      <c r="AV25" s="133"/>
    </row>
    <row r="26" spans="1:48">
      <c r="A26" s="4" t="s">
        <v>17</v>
      </c>
      <c r="J26" s="43"/>
      <c r="K26" s="6"/>
      <c r="L26" s="6"/>
    </row>
    <row r="27" spans="1:48">
      <c r="A27" s="4" t="s">
        <v>17</v>
      </c>
      <c r="J27" s="43"/>
      <c r="K27" s="6"/>
      <c r="L27" s="6"/>
    </row>
    <row r="28" spans="1:48" ht="15" thickBot="1">
      <c r="A28" s="4" t="s">
        <v>17</v>
      </c>
      <c r="C28" s="20" t="s">
        <v>46</v>
      </c>
      <c r="D28" s="20"/>
      <c r="E28" s="4">
        <v>2012</v>
      </c>
      <c r="F28" s="4">
        <v>2020</v>
      </c>
      <c r="G28" s="4">
        <v>2030</v>
      </c>
      <c r="H28" s="4">
        <v>2040</v>
      </c>
      <c r="I28" s="4">
        <v>2050</v>
      </c>
    </row>
    <row r="29" spans="1:48">
      <c r="A29" s="4" t="s">
        <v>17</v>
      </c>
      <c r="C29" s="4" t="s">
        <v>8</v>
      </c>
      <c r="D29" s="4" t="s">
        <v>49</v>
      </c>
      <c r="E29" s="31">
        <v>0.71</v>
      </c>
      <c r="F29" s="35">
        <v>0.8</v>
      </c>
      <c r="G29" s="35">
        <v>0.85</v>
      </c>
      <c r="H29" s="35">
        <v>0.9</v>
      </c>
      <c r="I29" s="135">
        <v>0.95</v>
      </c>
      <c r="J29" s="4">
        <f>IF(J$7=-1,K29,IF(J$7=99,I29,IF(J$7=0,INDEX($E29:$I29,0,J$5),(INDEX($E29:$I29,0,J$7+1)-INDEX($E29:$I29,0,J$7))/(INDEX($E$4:$I$4,0,J$7+1)-INDEX($E$4:$I$4,0,J$7))+I29)))</f>
        <v>0.71</v>
      </c>
      <c r="K29" s="4">
        <f t="shared" ref="K29:AP30" si="9">IF(K$7=-1,L29,IF(K$7=99,J29,IF(K$7=0,INDEX($E29:$I29,0,K$5),(INDEX($E29:$I29,0,K$7+1)-INDEX($E29:$I29,0,K$7))/(INDEX($E$4:$I$4,0,K$7+1)-INDEX($E$4:$I$4,0,K$7))+J29)))</f>
        <v>0.72124999999999995</v>
      </c>
      <c r="L29" s="4">
        <f t="shared" si="9"/>
        <v>0.73249999999999993</v>
      </c>
      <c r="M29" s="4">
        <f t="shared" si="9"/>
        <v>0.74374999999999991</v>
      </c>
      <c r="N29" s="4">
        <f t="shared" si="9"/>
        <v>0.75499999999999989</v>
      </c>
      <c r="O29" s="4">
        <f t="shared" si="9"/>
        <v>0.76624999999999988</v>
      </c>
      <c r="P29" s="4">
        <f t="shared" si="9"/>
        <v>0.77749999999999986</v>
      </c>
      <c r="Q29" s="4">
        <f t="shared" si="9"/>
        <v>0.78874999999999984</v>
      </c>
      <c r="R29" s="4">
        <f t="shared" si="9"/>
        <v>0.8</v>
      </c>
      <c r="S29" s="4">
        <f t="shared" si="9"/>
        <v>0.80500000000000005</v>
      </c>
      <c r="T29" s="4">
        <f t="shared" si="9"/>
        <v>0.81</v>
      </c>
      <c r="U29" s="4">
        <f t="shared" si="9"/>
        <v>0.81500000000000006</v>
      </c>
      <c r="V29" s="4">
        <f t="shared" si="9"/>
        <v>0.82000000000000006</v>
      </c>
      <c r="W29" s="4">
        <f t="shared" si="9"/>
        <v>0.82500000000000007</v>
      </c>
      <c r="X29" s="4">
        <f t="shared" si="9"/>
        <v>0.83000000000000007</v>
      </c>
      <c r="Y29" s="4">
        <f t="shared" si="9"/>
        <v>0.83500000000000008</v>
      </c>
      <c r="Z29" s="4">
        <f t="shared" si="9"/>
        <v>0.84000000000000008</v>
      </c>
      <c r="AA29" s="4">
        <f t="shared" si="9"/>
        <v>0.84500000000000008</v>
      </c>
      <c r="AB29" s="4">
        <f t="shared" si="9"/>
        <v>0.85</v>
      </c>
      <c r="AC29" s="4">
        <f t="shared" si="9"/>
        <v>0.85499999999999998</v>
      </c>
      <c r="AD29" s="4">
        <f t="shared" si="9"/>
        <v>0.86</v>
      </c>
      <c r="AE29" s="4">
        <f t="shared" si="9"/>
        <v>0.86499999999999999</v>
      </c>
      <c r="AF29" s="4">
        <f t="shared" si="9"/>
        <v>0.87</v>
      </c>
      <c r="AG29" s="4">
        <f t="shared" si="9"/>
        <v>0.875</v>
      </c>
      <c r="AH29" s="4">
        <f t="shared" si="9"/>
        <v>0.88</v>
      </c>
      <c r="AI29" s="4">
        <f t="shared" si="9"/>
        <v>0.88500000000000001</v>
      </c>
      <c r="AJ29" s="4">
        <f t="shared" si="9"/>
        <v>0.89</v>
      </c>
      <c r="AK29" s="4">
        <f t="shared" si="9"/>
        <v>0.89500000000000002</v>
      </c>
      <c r="AL29" s="4">
        <f t="shared" si="9"/>
        <v>0.9</v>
      </c>
      <c r="AM29" s="257">
        <f>(AL29+AN29)/2</f>
        <v>0.92500000000000004</v>
      </c>
      <c r="AN29" s="4">
        <f t="shared" si="9"/>
        <v>0.95</v>
      </c>
      <c r="AO29" s="4">
        <f t="shared" si="9"/>
        <v>0.95</v>
      </c>
      <c r="AP29" s="4">
        <f t="shared" si="9"/>
        <v>0.95</v>
      </c>
    </row>
    <row r="30" spans="1:48">
      <c r="A30" s="4" t="s">
        <v>17</v>
      </c>
      <c r="C30" s="4" t="s">
        <v>9</v>
      </c>
      <c r="D30" s="4" t="s">
        <v>49</v>
      </c>
      <c r="E30" s="89">
        <v>0.83</v>
      </c>
      <c r="F30" s="35">
        <v>0.9</v>
      </c>
      <c r="G30" s="35">
        <v>0.95</v>
      </c>
      <c r="H30" s="35">
        <v>0.95</v>
      </c>
      <c r="I30" s="135">
        <v>1</v>
      </c>
      <c r="J30" s="4">
        <f>IF(J$7=-1,K30,IF(J$7=99,I30,IF(J$7=0,INDEX($E30:$I30,0,J$5),(INDEX($E30:$I30,0,J$7+1)-INDEX($E30:$I30,0,J$7))/(INDEX($E$4:$I$4,0,J$7+1)-INDEX($E$4:$I$4,0,J$7))+I30)))</f>
        <v>0.83</v>
      </c>
      <c r="K30" s="4">
        <f t="shared" si="9"/>
        <v>0.83875</v>
      </c>
      <c r="L30" s="4">
        <f t="shared" si="9"/>
        <v>0.84750000000000003</v>
      </c>
      <c r="M30" s="4">
        <f t="shared" si="9"/>
        <v>0.85625000000000007</v>
      </c>
      <c r="N30" s="4">
        <f t="shared" si="9"/>
        <v>0.8650000000000001</v>
      </c>
      <c r="O30" s="4">
        <f t="shared" si="9"/>
        <v>0.87375000000000014</v>
      </c>
      <c r="P30" s="4">
        <f t="shared" si="9"/>
        <v>0.88250000000000017</v>
      </c>
      <c r="Q30" s="4">
        <f t="shared" si="9"/>
        <v>0.89125000000000021</v>
      </c>
      <c r="R30" s="4">
        <f t="shared" si="9"/>
        <v>0.9</v>
      </c>
      <c r="S30" s="4">
        <f t="shared" si="9"/>
        <v>0.90500000000000003</v>
      </c>
      <c r="T30" s="4">
        <f t="shared" si="9"/>
        <v>0.91</v>
      </c>
      <c r="U30" s="4">
        <f t="shared" si="9"/>
        <v>0.91500000000000004</v>
      </c>
      <c r="V30" s="4">
        <f t="shared" si="9"/>
        <v>0.92</v>
      </c>
      <c r="W30" s="4">
        <f t="shared" si="9"/>
        <v>0.92500000000000004</v>
      </c>
      <c r="X30" s="4">
        <f t="shared" si="9"/>
        <v>0.93</v>
      </c>
      <c r="Y30" s="4">
        <f t="shared" si="9"/>
        <v>0.93500000000000005</v>
      </c>
      <c r="Z30" s="4">
        <f t="shared" si="9"/>
        <v>0.94000000000000006</v>
      </c>
      <c r="AA30" s="4">
        <f t="shared" si="9"/>
        <v>0.94500000000000006</v>
      </c>
      <c r="AB30" s="4">
        <f t="shared" si="9"/>
        <v>0.95</v>
      </c>
      <c r="AC30" s="4">
        <f t="shared" si="9"/>
        <v>0.95</v>
      </c>
      <c r="AD30" s="4">
        <f t="shared" si="9"/>
        <v>0.95</v>
      </c>
      <c r="AE30" s="4">
        <f t="shared" si="9"/>
        <v>0.95</v>
      </c>
      <c r="AF30" s="4">
        <f t="shared" si="9"/>
        <v>0.95</v>
      </c>
      <c r="AG30" s="4">
        <f t="shared" si="9"/>
        <v>0.95</v>
      </c>
      <c r="AH30" s="4">
        <f t="shared" si="9"/>
        <v>0.95</v>
      </c>
      <c r="AI30" s="4">
        <f t="shared" si="9"/>
        <v>0.95</v>
      </c>
      <c r="AJ30" s="4">
        <f t="shared" si="9"/>
        <v>0.95</v>
      </c>
      <c r="AK30" s="4">
        <f t="shared" si="9"/>
        <v>0.95</v>
      </c>
      <c r="AL30" s="4">
        <f t="shared" si="9"/>
        <v>0.95</v>
      </c>
      <c r="AM30" s="257">
        <f>(AL30+AN30)/2</f>
        <v>0.97499999999999998</v>
      </c>
      <c r="AN30" s="4">
        <f t="shared" si="9"/>
        <v>1</v>
      </c>
      <c r="AO30" s="4">
        <f t="shared" si="9"/>
        <v>1</v>
      </c>
      <c r="AP30" s="4">
        <f t="shared" si="9"/>
        <v>1</v>
      </c>
    </row>
    <row r="31" spans="1:48">
      <c r="A31" s="4" t="s">
        <v>17</v>
      </c>
      <c r="C31" s="4" t="s">
        <v>55</v>
      </c>
      <c r="D31" s="4" t="s">
        <v>49</v>
      </c>
      <c r="E31" s="89">
        <f>(E29*E22+E30*E23+E24)/E25</f>
        <v>0.81742172774301225</v>
      </c>
      <c r="F31" s="71">
        <f>(F29*F22+F30*F23+F24)/F25</f>
        <v>0.88679528399217844</v>
      </c>
      <c r="G31" s="71">
        <f>(G29*G22+G30*G23+G24)/G25</f>
        <v>0.93007576012016668</v>
      </c>
      <c r="H31" s="71">
        <f>(H29*H22+H30*H23+H24)/H25</f>
        <v>0.95179523515074738</v>
      </c>
      <c r="I31" s="71">
        <f>(I29*I22+I30*I23+I24)/I25</f>
        <v>0.98698895240004259</v>
      </c>
      <c r="J31" s="67"/>
    </row>
    <row r="32" spans="1:48">
      <c r="A32" s="4" t="s">
        <v>17</v>
      </c>
      <c r="N32" s="227"/>
    </row>
    <row r="33" spans="1:48" ht="15" thickBot="1">
      <c r="A33" s="4" t="s">
        <v>17</v>
      </c>
      <c r="B33" s="20" t="s">
        <v>60</v>
      </c>
      <c r="D33" s="20"/>
      <c r="E33" s="4">
        <f>E28</f>
        <v>2012</v>
      </c>
      <c r="F33" s="4">
        <f>F28</f>
        <v>2020</v>
      </c>
      <c r="G33" s="4">
        <f>G28</f>
        <v>2030</v>
      </c>
      <c r="H33" s="4">
        <f>H28</f>
        <v>2040</v>
      </c>
      <c r="I33" s="4">
        <f>I28</f>
        <v>2050</v>
      </c>
    </row>
    <row r="34" spans="1:48">
      <c r="A34" s="4" t="s">
        <v>17</v>
      </c>
      <c r="B34" s="4" t="str">
        <f>[6]RES!B26</f>
        <v>LE</v>
      </c>
      <c r="C34" s="4" t="str">
        <f>[6]RES!A26</f>
        <v>Low Income Electrified</v>
      </c>
      <c r="D34" s="4" t="s">
        <v>48</v>
      </c>
      <c r="E34" s="10">
        <f t="shared" ref="E34:I35" si="10">E29*E22</f>
        <v>16.642399999999999</v>
      </c>
      <c r="F34" s="10">
        <f t="shared" si="10"/>
        <v>18.291260184756446</v>
      </c>
      <c r="G34" s="10">
        <f t="shared" si="10"/>
        <v>18.661917171644202</v>
      </c>
      <c r="H34" s="10">
        <f t="shared" si="10"/>
        <v>18.397733485378986</v>
      </c>
      <c r="I34" s="10">
        <f t="shared" si="10"/>
        <v>18.589247744371807</v>
      </c>
      <c r="J34" s="10">
        <f t="shared" ref="J34:AP34" si="11">J29*J22</f>
        <v>16.642399999999999</v>
      </c>
      <c r="K34" s="10">
        <f t="shared" si="11"/>
        <v>17.061032869535712</v>
      </c>
      <c r="L34" s="10">
        <f t="shared" si="11"/>
        <v>17.276756328692169</v>
      </c>
      <c r="M34" s="10">
        <f t="shared" si="11"/>
        <v>17.274303815957921</v>
      </c>
      <c r="N34" s="10">
        <f t="shared" si="11"/>
        <v>17.48942879550113</v>
      </c>
      <c r="O34" s="24">
        <f t="shared" si="11"/>
        <v>17.698876386840183</v>
      </c>
      <c r="P34" s="24">
        <f t="shared" si="11"/>
        <v>17.902457125287484</v>
      </c>
      <c r="Q34" s="24">
        <f t="shared" si="11"/>
        <v>18.099981546155433</v>
      </c>
      <c r="R34" s="151">
        <f t="shared" si="11"/>
        <v>18.291260184756446</v>
      </c>
      <c r="S34" s="10">
        <f t="shared" si="11"/>
        <v>18.384486400527798</v>
      </c>
      <c r="T34" s="10">
        <f t="shared" si="11"/>
        <v>18.473756272050469</v>
      </c>
      <c r="U34" s="10">
        <f t="shared" si="11"/>
        <v>18.559001386269113</v>
      </c>
      <c r="V34" s="10">
        <f t="shared" si="11"/>
        <v>18.64015333012836</v>
      </c>
      <c r="W34" s="10">
        <f t="shared" si="11"/>
        <v>18.717143690572868</v>
      </c>
      <c r="X34" s="10">
        <f t="shared" si="11"/>
        <v>18.720471680468659</v>
      </c>
      <c r="Y34" s="10">
        <f t="shared" si="11"/>
        <v>18.716716435807854</v>
      </c>
      <c r="Z34" s="10">
        <f t="shared" si="11"/>
        <v>18.705774544306284</v>
      </c>
      <c r="AA34" s="10">
        <f t="shared" si="11"/>
        <v>18.68754259367979</v>
      </c>
      <c r="AB34" s="10">
        <f t="shared" si="11"/>
        <v>18.661917171644202</v>
      </c>
      <c r="AC34" s="10">
        <f t="shared" si="11"/>
        <v>18.649452157019535</v>
      </c>
      <c r="AD34" s="10">
        <f t="shared" si="11"/>
        <v>18.630306946336017</v>
      </c>
      <c r="AE34" s="10">
        <f t="shared" si="11"/>
        <v>18.604389961510204</v>
      </c>
      <c r="AF34" s="10">
        <f t="shared" si="11"/>
        <v>18.571609624458649</v>
      </c>
      <c r="AG34" s="10">
        <f t="shared" si="11"/>
        <v>18.531874357097919</v>
      </c>
      <c r="AH34" s="10">
        <f t="shared" si="11"/>
        <v>18.518206189701548</v>
      </c>
      <c r="AI34" s="10">
        <f t="shared" si="11"/>
        <v>18.498045040746884</v>
      </c>
      <c r="AJ34" s="10">
        <f t="shared" si="11"/>
        <v>18.471303888318513</v>
      </c>
      <c r="AK34" s="10">
        <f t="shared" si="11"/>
        <v>18.437895710501021</v>
      </c>
      <c r="AL34" s="10">
        <f t="shared" si="11"/>
        <v>18.397733485378986</v>
      </c>
      <c r="AM34" s="10">
        <f t="shared" si="11"/>
        <v>18.428074659167674</v>
      </c>
      <c r="AN34" s="10">
        <f t="shared" si="11"/>
        <v>18.589247744371807</v>
      </c>
      <c r="AO34" s="10">
        <f t="shared" si="11"/>
        <v>18.589247744371807</v>
      </c>
      <c r="AP34" s="10">
        <f t="shared" si="11"/>
        <v>18.589247744371807</v>
      </c>
      <c r="AQ34" s="10"/>
      <c r="AR34" s="10"/>
      <c r="AS34" s="10"/>
      <c r="AT34" s="10"/>
      <c r="AU34" s="10"/>
      <c r="AV34" s="10"/>
    </row>
    <row r="35" spans="1:48">
      <c r="A35" s="4" t="s">
        <v>17</v>
      </c>
      <c r="B35" s="4" t="str">
        <f>[6]RES!B27</f>
        <v>ME</v>
      </c>
      <c r="C35" s="4" t="str">
        <f>[6]RES!A27</f>
        <v>Middle Income Electrified</v>
      </c>
      <c r="D35" s="4" t="s">
        <v>48</v>
      </c>
      <c r="E35" s="10">
        <f t="shared" si="10"/>
        <v>14.085402527350533</v>
      </c>
      <c r="F35" s="10">
        <f t="shared" si="10"/>
        <v>17.084583335973679</v>
      </c>
      <c r="G35" s="10">
        <f t="shared" si="10"/>
        <v>20.869672430216699</v>
      </c>
      <c r="H35" s="10">
        <f t="shared" si="10"/>
        <v>23.979321565949419</v>
      </c>
      <c r="I35" s="10">
        <f t="shared" si="10"/>
        <v>28.64199879238107</v>
      </c>
      <c r="J35" s="10">
        <f t="shared" ref="J35:AP35" si="12">J30*J23</f>
        <v>14.085402527350533</v>
      </c>
      <c r="K35" s="10">
        <f t="shared" si="12"/>
        <v>14.364337134563261</v>
      </c>
      <c r="L35" s="10">
        <f t="shared" si="12"/>
        <v>14.721535492038029</v>
      </c>
      <c r="M35" s="10">
        <f t="shared" si="12"/>
        <v>15.161397951381128</v>
      </c>
      <c r="N35" s="10">
        <f t="shared" si="12"/>
        <v>15.534464041878332</v>
      </c>
      <c r="O35" s="10">
        <f t="shared" si="12"/>
        <v>15.913275596783064</v>
      </c>
      <c r="P35" s="10">
        <f t="shared" si="12"/>
        <v>16.297872644898455</v>
      </c>
      <c r="Q35" s="10">
        <f t="shared" si="12"/>
        <v>16.688295215027622</v>
      </c>
      <c r="R35" s="10">
        <f t="shared" si="12"/>
        <v>17.084583335973679</v>
      </c>
      <c r="S35" s="10">
        <f t="shared" si="12"/>
        <v>17.435995385656895</v>
      </c>
      <c r="T35" s="10">
        <f t="shared" si="12"/>
        <v>17.792010402905081</v>
      </c>
      <c r="U35" s="10">
        <f t="shared" si="12"/>
        <v>18.15265754275439</v>
      </c>
      <c r="V35" s="10">
        <f t="shared" si="12"/>
        <v>18.517965960240971</v>
      </c>
      <c r="W35" s="10">
        <f t="shared" si="12"/>
        <v>18.887964810400973</v>
      </c>
      <c r="X35" s="10">
        <f t="shared" si="12"/>
        <v>19.274303163791959</v>
      </c>
      <c r="Y35" s="10">
        <f t="shared" si="12"/>
        <v>19.665612388345888</v>
      </c>
      <c r="Z35" s="10">
        <f t="shared" si="12"/>
        <v>20.061923198185891</v>
      </c>
      <c r="AA35" s="10">
        <f t="shared" si="12"/>
        <v>20.463266307435116</v>
      </c>
      <c r="AB35" s="10">
        <f t="shared" si="12"/>
        <v>20.869672430216699</v>
      </c>
      <c r="AC35" s="10">
        <f t="shared" si="12"/>
        <v>21.165942067145647</v>
      </c>
      <c r="AD35" s="10">
        <f t="shared" si="12"/>
        <v>21.464141780523576</v>
      </c>
      <c r="AE35" s="10">
        <f t="shared" si="12"/>
        <v>21.764271570350477</v>
      </c>
      <c r="AF35" s="10">
        <f t="shared" si="12"/>
        <v>22.066331436626353</v>
      </c>
      <c r="AG35" s="10">
        <f t="shared" si="12"/>
        <v>22.370321379351203</v>
      </c>
      <c r="AH35" s="10">
        <f t="shared" si="12"/>
        <v>22.687964017861201</v>
      </c>
      <c r="AI35" s="10">
        <f t="shared" si="12"/>
        <v>23.007685355776022</v>
      </c>
      <c r="AJ35" s="10">
        <f t="shared" si="12"/>
        <v>23.329485393095666</v>
      </c>
      <c r="AK35" s="10">
        <f t="shared" si="12"/>
        <v>23.653364129820137</v>
      </c>
      <c r="AL35" s="10">
        <f t="shared" si="12"/>
        <v>23.979321565949419</v>
      </c>
      <c r="AM35" s="10">
        <f t="shared" si="12"/>
        <v>26.250727153023192</v>
      </c>
      <c r="AN35" s="10">
        <f t="shared" si="12"/>
        <v>28.64199879238107</v>
      </c>
      <c r="AO35" s="10">
        <f t="shared" si="12"/>
        <v>28.64199879238107</v>
      </c>
      <c r="AP35" s="10">
        <f t="shared" si="12"/>
        <v>28.64199879238107</v>
      </c>
      <c r="AQ35" s="10"/>
      <c r="AR35" s="10"/>
      <c r="AS35" s="10"/>
      <c r="AT35" s="10"/>
      <c r="AU35" s="10"/>
      <c r="AV35" s="10"/>
    </row>
    <row r="36" spans="1:48">
      <c r="A36" s="4" t="s">
        <v>17</v>
      </c>
      <c r="B36" s="4" t="str">
        <f>[6]RES!B28</f>
        <v>HE</v>
      </c>
      <c r="C36" s="4" t="str">
        <f>[6]RES!A28</f>
        <v>High Income Electrified</v>
      </c>
      <c r="D36" s="4" t="s">
        <v>48</v>
      </c>
      <c r="E36" s="10">
        <f>E24</f>
        <v>12.622024542915524</v>
      </c>
      <c r="F36" s="10">
        <f>F24</f>
        <v>15.315885695750353</v>
      </c>
      <c r="G36" s="10">
        <f>G24</f>
        <v>18.883034605144044</v>
      </c>
      <c r="H36" s="10">
        <f>H24</f>
        <v>22.904553213082437</v>
      </c>
      <c r="I36" s="10">
        <f>I24</f>
        <v>26.986581433017019</v>
      </c>
      <c r="J36" s="10">
        <f t="shared" ref="J36:AP36" si="13">J24</f>
        <v>12.622024542915524</v>
      </c>
      <c r="K36" s="10">
        <f t="shared" si="13"/>
        <v>12.737696784401386</v>
      </c>
      <c r="L36" s="10">
        <f t="shared" si="13"/>
        <v>13.047841525337866</v>
      </c>
      <c r="M36" s="10">
        <f t="shared" si="13"/>
        <v>13.557709156468487</v>
      </c>
      <c r="N36" s="10">
        <f t="shared" si="13"/>
        <v>13.901166740853478</v>
      </c>
      <c r="O36" s="10">
        <f t="shared" si="13"/>
        <v>14.248713186974159</v>
      </c>
      <c r="P36" s="10">
        <f t="shared" si="13"/>
        <v>14.600348494830532</v>
      </c>
      <c r="Q36" s="10">
        <f t="shared" si="13"/>
        <v>14.956072664422598</v>
      </c>
      <c r="R36" s="10">
        <f t="shared" si="13"/>
        <v>15.315885695750353</v>
      </c>
      <c r="S36" s="10">
        <f t="shared" si="13"/>
        <v>15.600425025176749</v>
      </c>
      <c r="T36" s="10">
        <f t="shared" si="13"/>
        <v>15.887581555883536</v>
      </c>
      <c r="U36" s="10">
        <f t="shared" si="13"/>
        <v>16.1773552878707</v>
      </c>
      <c r="V36" s="10">
        <f t="shared" si="13"/>
        <v>16.469746221138255</v>
      </c>
      <c r="W36" s="10">
        <f t="shared" si="13"/>
        <v>16.764754355686215</v>
      </c>
      <c r="X36" s="10">
        <f t="shared" si="13"/>
        <v>17.178717317441144</v>
      </c>
      <c r="Y36" s="10">
        <f t="shared" si="13"/>
        <v>17.597526823264392</v>
      </c>
      <c r="Z36" s="10">
        <f t="shared" si="13"/>
        <v>18.021182873155965</v>
      </c>
      <c r="AA36" s="10">
        <f t="shared" si="13"/>
        <v>18.449685467115852</v>
      </c>
      <c r="AB36" s="10">
        <f t="shared" si="13"/>
        <v>18.883034605144044</v>
      </c>
      <c r="AC36" s="10">
        <f t="shared" si="13"/>
        <v>19.281154130899861</v>
      </c>
      <c r="AD36" s="10">
        <f t="shared" si="13"/>
        <v>19.683347202798661</v>
      </c>
      <c r="AE36" s="10">
        <f t="shared" si="13"/>
        <v>20.089613820840444</v>
      </c>
      <c r="AF36" s="10">
        <f t="shared" si="13"/>
        <v>20.499953985025215</v>
      </c>
      <c r="AG36" s="10">
        <f t="shared" si="13"/>
        <v>20.914367695352976</v>
      </c>
      <c r="AH36" s="10">
        <f t="shared" si="13"/>
        <v>21.305178086116825</v>
      </c>
      <c r="AI36" s="10">
        <f t="shared" si="13"/>
        <v>21.699601833271696</v>
      </c>
      <c r="AJ36" s="10">
        <f t="shared" si="13"/>
        <v>22.097638936817589</v>
      </c>
      <c r="AK36" s="10">
        <f t="shared" si="13"/>
        <v>22.499289396754506</v>
      </c>
      <c r="AL36" s="10">
        <f t="shared" si="13"/>
        <v>22.904553213082437</v>
      </c>
      <c r="AM36" s="10">
        <f t="shared" si="13"/>
        <v>25.10533072417471</v>
      </c>
      <c r="AN36" s="10">
        <f t="shared" si="13"/>
        <v>26.986581433017019</v>
      </c>
      <c r="AO36" s="10">
        <f t="shared" si="13"/>
        <v>26.986581433017019</v>
      </c>
      <c r="AP36" s="10">
        <f t="shared" si="13"/>
        <v>26.986581433017019</v>
      </c>
      <c r="AQ36" s="10"/>
      <c r="AR36" s="10"/>
      <c r="AS36" s="10"/>
      <c r="AT36" s="10"/>
      <c r="AU36" s="10"/>
      <c r="AV36" s="10"/>
    </row>
    <row r="37" spans="1:48">
      <c r="A37" s="4" t="s">
        <v>17</v>
      </c>
      <c r="B37" s="4" t="str">
        <f>[6]RES!B29</f>
        <v>LN</v>
      </c>
      <c r="C37" s="4" t="str">
        <f>[6]RES!A29</f>
        <v>Low Income Non-Electrified</v>
      </c>
      <c r="D37" s="4" t="s">
        <v>48</v>
      </c>
      <c r="E37" s="10">
        <f t="shared" ref="E37:I38" si="14">E22-E34</f>
        <v>6.7976000000000028</v>
      </c>
      <c r="F37" s="10">
        <f t="shared" si="14"/>
        <v>4.5728150461891097</v>
      </c>
      <c r="G37" s="10">
        <f t="shared" si="14"/>
        <v>3.2932795008783877</v>
      </c>
      <c r="H37" s="10">
        <f t="shared" si="14"/>
        <v>2.0441926094865543</v>
      </c>
      <c r="I37" s="10">
        <f t="shared" si="14"/>
        <v>0.97838146023009642</v>
      </c>
      <c r="J37" s="10">
        <f t="shared" ref="J37:AP37" si="15">J22-J34</f>
        <v>6.7976000000000028</v>
      </c>
      <c r="K37" s="10">
        <f t="shared" si="15"/>
        <v>6.5937787346732506</v>
      </c>
      <c r="L37" s="10">
        <f t="shared" si="15"/>
        <v>6.3092591370991897</v>
      </c>
      <c r="M37" s="10">
        <f t="shared" si="15"/>
        <v>5.9516508945737385</v>
      </c>
      <c r="N37" s="10">
        <f t="shared" si="15"/>
        <v>5.6753775561559969</v>
      </c>
      <c r="O37" s="10">
        <f t="shared" si="15"/>
        <v>5.3991678374210714</v>
      </c>
      <c r="P37" s="10">
        <f t="shared" si="15"/>
        <v>5.1232112030565489</v>
      </c>
      <c r="Q37" s="10">
        <f t="shared" si="15"/>
        <v>4.8476971177500339</v>
      </c>
      <c r="R37" s="10">
        <f t="shared" si="15"/>
        <v>4.5728150461891097</v>
      </c>
      <c r="S37" s="10">
        <f t="shared" si="15"/>
        <v>4.4533849044756764</v>
      </c>
      <c r="T37" s="10">
        <f t="shared" si="15"/>
        <v>4.3333502366538141</v>
      </c>
      <c r="U37" s="10">
        <f t="shared" si="15"/>
        <v>4.2127794557788754</v>
      </c>
      <c r="V37" s="10">
        <f t="shared" si="15"/>
        <v>4.091740974906223</v>
      </c>
      <c r="W37" s="10">
        <f t="shared" si="15"/>
        <v>3.970303207091213</v>
      </c>
      <c r="X37" s="10">
        <f t="shared" si="15"/>
        <v>3.834313476722496</v>
      </c>
      <c r="Y37" s="10">
        <f t="shared" si="15"/>
        <v>3.6985128286326869</v>
      </c>
      <c r="Z37" s="10">
        <f t="shared" si="15"/>
        <v>3.5630046751059581</v>
      </c>
      <c r="AA37" s="10">
        <f t="shared" si="15"/>
        <v>3.4278924284264676</v>
      </c>
      <c r="AB37" s="10">
        <f t="shared" si="15"/>
        <v>3.2932795008783877</v>
      </c>
      <c r="AC37" s="10">
        <f t="shared" si="15"/>
        <v>3.1627725880325528</v>
      </c>
      <c r="AD37" s="10">
        <f t="shared" si="15"/>
        <v>3.0328406656826097</v>
      </c>
      <c r="AE37" s="10">
        <f t="shared" si="15"/>
        <v>2.9035753119119967</v>
      </c>
      <c r="AF37" s="10">
        <f t="shared" si="15"/>
        <v>2.7750681048041663</v>
      </c>
      <c r="AG37" s="10">
        <f t="shared" si="15"/>
        <v>2.6474106224425604</v>
      </c>
      <c r="AH37" s="10">
        <f t="shared" si="15"/>
        <v>2.5252099349593031</v>
      </c>
      <c r="AI37" s="10">
        <f t="shared" si="15"/>
        <v>2.403700768006658</v>
      </c>
      <c r="AJ37" s="10">
        <f t="shared" si="15"/>
        <v>2.2829701435000409</v>
      </c>
      <c r="AK37" s="10">
        <f t="shared" si="15"/>
        <v>2.1631050833548677</v>
      </c>
      <c r="AL37" s="10">
        <f t="shared" si="15"/>
        <v>2.0441926094865543</v>
      </c>
      <c r="AM37" s="10">
        <f t="shared" si="15"/>
        <v>1.4941682156081875</v>
      </c>
      <c r="AN37" s="10">
        <f t="shared" si="15"/>
        <v>0.97838146023009642</v>
      </c>
      <c r="AO37" s="10">
        <f t="shared" si="15"/>
        <v>0.97838146023009642</v>
      </c>
      <c r="AP37" s="10">
        <f t="shared" si="15"/>
        <v>0.97838146023009642</v>
      </c>
      <c r="AQ37" s="10"/>
      <c r="AR37" s="10"/>
      <c r="AS37" s="10"/>
      <c r="AT37" s="10"/>
      <c r="AU37" s="10"/>
      <c r="AV37" s="10"/>
    </row>
    <row r="38" spans="1:48">
      <c r="A38" s="4" t="s">
        <v>17</v>
      </c>
      <c r="B38" s="4" t="str">
        <f>[6]RES!B30</f>
        <v>MN</v>
      </c>
      <c r="C38" s="4" t="str">
        <f>[6]RES!A30</f>
        <v>Middle Income Non-Electrified</v>
      </c>
      <c r="D38" s="4" t="s">
        <v>48</v>
      </c>
      <c r="E38" s="10">
        <f t="shared" si="14"/>
        <v>2.8849619634332431</v>
      </c>
      <c r="F38" s="10">
        <f t="shared" si="14"/>
        <v>1.8982870373304088</v>
      </c>
      <c r="G38" s="10">
        <f t="shared" si="14"/>
        <v>1.0984038121166684</v>
      </c>
      <c r="H38" s="10">
        <f t="shared" si="14"/>
        <v>1.2620695561026025</v>
      </c>
      <c r="I38" s="10">
        <f t="shared" si="14"/>
        <v>0</v>
      </c>
      <c r="J38" s="10">
        <f t="shared" ref="J38:AP38" si="16">J23-J35</f>
        <v>2.8849619634332431</v>
      </c>
      <c r="K38" s="10">
        <f t="shared" si="16"/>
        <v>2.7615491659592557</v>
      </c>
      <c r="L38" s="10">
        <f t="shared" si="16"/>
        <v>2.6490078613991734</v>
      </c>
      <c r="M38" s="10">
        <f t="shared" si="16"/>
        <v>2.545344181618729</v>
      </c>
      <c r="N38" s="10">
        <f t="shared" si="16"/>
        <v>2.4244539256110667</v>
      </c>
      <c r="O38" s="10">
        <f t="shared" si="16"/>
        <v>2.2993431119815266</v>
      </c>
      <c r="P38" s="10">
        <f t="shared" si="16"/>
        <v>2.169971711926987</v>
      </c>
      <c r="Q38" s="10">
        <f t="shared" si="16"/>
        <v>2.0362996966443205</v>
      </c>
      <c r="R38" s="10">
        <f t="shared" si="16"/>
        <v>1.8982870373304088</v>
      </c>
      <c r="S38" s="10">
        <f t="shared" si="16"/>
        <v>1.8302978581628793</v>
      </c>
      <c r="T38" s="10">
        <f t="shared" si="16"/>
        <v>1.7596493805070956</v>
      </c>
      <c r="U38" s="10">
        <f t="shared" si="16"/>
        <v>1.686312449326909</v>
      </c>
      <c r="V38" s="10">
        <f t="shared" si="16"/>
        <v>1.6102579095861707</v>
      </c>
      <c r="W38" s="10">
        <f t="shared" si="16"/>
        <v>1.531456606248728</v>
      </c>
      <c r="X38" s="10">
        <f t="shared" si="16"/>
        <v>1.4507540015757385</v>
      </c>
      <c r="Y38" s="10">
        <f t="shared" si="16"/>
        <v>1.3671281339491763</v>
      </c>
      <c r="Z38" s="10">
        <f t="shared" si="16"/>
        <v>1.2805482892459068</v>
      </c>
      <c r="AA38" s="10">
        <f t="shared" si="16"/>
        <v>1.1909837533427847</v>
      </c>
      <c r="AB38" s="10">
        <f t="shared" si="16"/>
        <v>1.0984038121166684</v>
      </c>
      <c r="AC38" s="10">
        <f t="shared" si="16"/>
        <v>1.1139969509024041</v>
      </c>
      <c r="AD38" s="10">
        <f t="shared" si="16"/>
        <v>1.1296916726591348</v>
      </c>
      <c r="AE38" s="10">
        <f t="shared" si="16"/>
        <v>1.1454879773868676</v>
      </c>
      <c r="AF38" s="10">
        <f t="shared" si="16"/>
        <v>1.1613858650855988</v>
      </c>
      <c r="AG38" s="10">
        <f t="shared" si="16"/>
        <v>1.1773853357553286</v>
      </c>
      <c r="AH38" s="10">
        <f t="shared" si="16"/>
        <v>1.1941033693611161</v>
      </c>
      <c r="AI38" s="10">
        <f t="shared" si="16"/>
        <v>1.2109308081987393</v>
      </c>
      <c r="AJ38" s="10">
        <f t="shared" si="16"/>
        <v>1.2278676522681948</v>
      </c>
      <c r="AK38" s="10">
        <f t="shared" si="16"/>
        <v>1.2449139015694826</v>
      </c>
      <c r="AL38" s="10">
        <f t="shared" si="16"/>
        <v>1.2620695561026025</v>
      </c>
      <c r="AM38" s="10">
        <f t="shared" si="16"/>
        <v>0.6730955680262376</v>
      </c>
      <c r="AN38" s="10">
        <f t="shared" si="16"/>
        <v>0</v>
      </c>
      <c r="AO38" s="10">
        <f t="shared" si="16"/>
        <v>0</v>
      </c>
      <c r="AP38" s="10">
        <f t="shared" si="16"/>
        <v>0</v>
      </c>
      <c r="AQ38" s="10"/>
      <c r="AR38" s="10"/>
      <c r="AS38" s="10"/>
      <c r="AT38" s="10"/>
      <c r="AU38" s="10"/>
      <c r="AV38" s="10"/>
    </row>
    <row r="39" spans="1:48">
      <c r="A39" s="4" t="s">
        <v>17</v>
      </c>
      <c r="B39" s="25"/>
      <c r="J39" s="43"/>
      <c r="K39" s="6">
        <f>SUM(K34:K38)</f>
        <v>53.518394689132862</v>
      </c>
      <c r="L39" s="6"/>
    </row>
    <row r="40" spans="1:48" ht="18" thickBot="1">
      <c r="A40" s="4" t="s">
        <v>17</v>
      </c>
      <c r="B40" s="25"/>
      <c r="C40" s="38" t="s">
        <v>61</v>
      </c>
    </row>
    <row r="41" spans="1:48" ht="15" thickTop="1">
      <c r="A41" s="4" t="s">
        <v>17</v>
      </c>
    </row>
    <row r="42" spans="1:48" ht="15" thickBot="1">
      <c r="A42" s="4" t="s">
        <v>17</v>
      </c>
      <c r="C42" s="20" t="s">
        <v>59</v>
      </c>
      <c r="D42" s="20"/>
      <c r="E42" s="7">
        <v>2012</v>
      </c>
      <c r="F42" s="7">
        <v>2020</v>
      </c>
      <c r="G42" s="7">
        <v>2030</v>
      </c>
      <c r="H42" s="7">
        <v>2040</v>
      </c>
      <c r="I42" s="7">
        <v>2050</v>
      </c>
    </row>
    <row r="43" spans="1:48">
      <c r="A43" s="4" t="s">
        <v>17</v>
      </c>
      <c r="C43" s="4" t="s">
        <v>50</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17</v>
      </c>
      <c r="C44" s="4" t="s">
        <v>52</v>
      </c>
      <c r="E44" s="10">
        <f>SUMIF($J$3:$AV$3,E$21,$J44:$AV44)</f>
        <v>1</v>
      </c>
      <c r="F44" s="10">
        <f t="shared" ref="F44:I45" si="17">SUMIF($J$3:$AV$3,F$21,$J44:$AV44)</f>
        <v>1</v>
      </c>
      <c r="G44" s="10">
        <f t="shared" si="17"/>
        <v>1</v>
      </c>
      <c r="H44" s="10">
        <f t="shared" si="17"/>
        <v>1</v>
      </c>
      <c r="I44" s="10">
        <f t="shared" si="17"/>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17</v>
      </c>
      <c r="C45" s="4" t="s">
        <v>51</v>
      </c>
      <c r="E45" s="10">
        <f>SUMIF($J$3:$AV$3,E$21,$J45:$AV45)</f>
        <v>1</v>
      </c>
      <c r="F45" s="10">
        <f t="shared" si="17"/>
        <v>1.0625541860847787</v>
      </c>
      <c r="G45" s="10">
        <f t="shared" si="17"/>
        <v>1.0738543861159591</v>
      </c>
      <c r="H45" s="10">
        <f t="shared" si="17"/>
        <v>1.0753270113967346</v>
      </c>
      <c r="I45" s="10">
        <f t="shared" si="17"/>
        <v>1.0916445074168699</v>
      </c>
      <c r="J45" s="54">
        <f>INDEX(MCEcon!$C$68:$AG$68,1,J21)</f>
        <v>1</v>
      </c>
      <c r="K45" s="54">
        <f>INDEX(MCEcon!$C$68:$AG$68,1,K21)</f>
        <v>1.0202655733963399</v>
      </c>
      <c r="L45" s="54">
        <f>INDEX(MCEcon!$C$68:$AG$68,1,L21)</f>
        <v>1.0405311467926799</v>
      </c>
      <c r="M45" s="54">
        <f>INDEX(MCEcon!$C$68:$AG$68,1,M21)</f>
        <v>1.0607967201890196</v>
      </c>
      <c r="N45" s="54">
        <f>INDEX(MCEcon!$C$68:$AG$68,1,N21)</f>
        <v>1.0611482133681713</v>
      </c>
      <c r="O45" s="54">
        <f>INDEX(MCEcon!$C$68:$AG$68,1,O21)</f>
        <v>1.0614997065473231</v>
      </c>
      <c r="P45" s="54">
        <f>INDEX(MCEcon!$C$68:$AG$68,1,P21)</f>
        <v>1.0618511997264748</v>
      </c>
      <c r="Q45" s="54">
        <f>INDEX(MCEcon!$C$68:$AG$68,1,Q21)</f>
        <v>1.0622026929056265</v>
      </c>
      <c r="R45" s="54">
        <f>INDEX(MCEcon!$C$68:$AG$68,1,R21)</f>
        <v>1.0625541860847787</v>
      </c>
      <c r="S45" s="54">
        <f>INDEX(MCEcon!$C$68:$AG$68,1,S21)</f>
        <v>1.0651346956579488</v>
      </c>
      <c r="T45" s="54">
        <f>INDEX(MCEcon!$C$68:$AG$68,1,T21)</f>
        <v>1.067715205231119</v>
      </c>
      <c r="U45" s="54">
        <f>INDEX(MCEcon!$C$68:$AG$68,1,U21)</f>
        <v>1.0702957148042891</v>
      </c>
      <c r="V45" s="54">
        <f>INDEX(MCEcon!$C$68:$AG$68,1,V21)</f>
        <v>1.0728762243774592</v>
      </c>
      <c r="W45" s="54">
        <f>INDEX(MCEcon!$C$68:$AG$68,1,W21)</f>
        <v>1.0754567339506294</v>
      </c>
      <c r="X45" s="54">
        <f>INDEX(MCEcon!$C$68:$AG$68,1,X21)</f>
        <v>1.0751362643836953</v>
      </c>
      <c r="Y45" s="54">
        <f>INDEX(MCEcon!$C$68:$AG$68,1,Y21)</f>
        <v>1.0748157948167611</v>
      </c>
      <c r="Z45" s="54">
        <f>INDEX(MCEcon!$C$68:$AG$68,1,Z21)</f>
        <v>1.074495325249827</v>
      </c>
      <c r="AA45" s="54">
        <f>INDEX(MCEcon!$C$68:$AG$68,1,AA21)</f>
        <v>1.0741748556828929</v>
      </c>
      <c r="AB45" s="54">
        <f>INDEX(MCEcon!$C$68:$AG$68,1,AB21)</f>
        <v>1.0738543861159591</v>
      </c>
      <c r="AC45" s="54">
        <f>INDEX(MCEcon!$C$68:$AG$68,1,AC21)</f>
        <v>1.0719009041492715</v>
      </c>
      <c r="AD45" s="54">
        <f>INDEX(MCEcon!$C$68:$AG$68,1,AD21)</f>
        <v>1.069947422182584</v>
      </c>
      <c r="AE45" s="54">
        <f>INDEX(MCEcon!$C$68:$AG$68,1,AE21)</f>
        <v>1.0679939402158964</v>
      </c>
      <c r="AF45" s="54">
        <f>INDEX(MCEcon!$C$68:$AG$68,1,AF21)</f>
        <v>1.0660404582492089</v>
      </c>
      <c r="AG45" s="54">
        <f>INDEX(MCEcon!$C$68:$AG$68,1,AG21)</f>
        <v>1.0640869762825218</v>
      </c>
      <c r="AH45" s="54">
        <f>INDEX(MCEcon!$C$68:$AG$68,1,AH21)</f>
        <v>1.0663349833053644</v>
      </c>
      <c r="AI45" s="54">
        <f>INDEX(MCEcon!$C$68:$AG$68,1,AI21)</f>
        <v>1.0685829903282069</v>
      </c>
      <c r="AJ45" s="54">
        <f>INDEX(MCEcon!$C$68:$AG$68,1,AJ21)</f>
        <v>1.0708309973510495</v>
      </c>
      <c r="AK45" s="54">
        <f>INDEX(MCEcon!$C$68:$AG$68,1,AK21)</f>
        <v>1.073079004373892</v>
      </c>
      <c r="AL45" s="54">
        <f>INDEX(MCEcon!$C$68:$AG$68,1,AL21)</f>
        <v>1.0753270113967346</v>
      </c>
      <c r="AM45" s="54">
        <f>INDEX(MCEcon!$C$68:$AG$68,1,AM21)</f>
        <v>1.0818701925063405</v>
      </c>
      <c r="AN45" s="54">
        <f>INDEX(MCEcon!$C$68:$AG$68,1,AN21)</f>
        <v>1.0916445074168699</v>
      </c>
      <c r="AO45" s="37">
        <v>1</v>
      </c>
      <c r="AP45" s="37">
        <v>1</v>
      </c>
      <c r="AQ45" s="37"/>
      <c r="AR45" s="37"/>
      <c r="AS45" s="68"/>
      <c r="AT45" s="68"/>
      <c r="AU45" s="68"/>
      <c r="AV45" s="68"/>
    </row>
    <row r="46" spans="1:48">
      <c r="A46" s="4" t="s">
        <v>17</v>
      </c>
      <c r="H46" s="130">
        <f>I46^(1/40)-1</f>
        <v>2.1945365196920363E-3</v>
      </c>
      <c r="I46" s="6">
        <f>I45/E45</f>
        <v>1.0916445074168699</v>
      </c>
      <c r="L46" s="24"/>
    </row>
    <row r="47" spans="1:48" ht="15" thickBot="1">
      <c r="A47" s="4" t="s">
        <v>17</v>
      </c>
      <c r="C47" s="88" t="s">
        <v>214</v>
      </c>
      <c r="D47" s="88"/>
      <c r="E47" s="7">
        <v>2012</v>
      </c>
      <c r="F47" s="7">
        <v>2020</v>
      </c>
      <c r="G47" s="7">
        <v>2030</v>
      </c>
      <c r="H47" s="7">
        <v>2040</v>
      </c>
      <c r="I47" s="7">
        <v>2050</v>
      </c>
    </row>
    <row r="48" spans="1:48">
      <c r="A48" s="4" t="s">
        <v>17</v>
      </c>
      <c r="C48" s="4" t="s">
        <v>50</v>
      </c>
      <c r="D48" s="36" t="s">
        <v>56</v>
      </c>
      <c r="E48" s="89"/>
      <c r="F48" s="89">
        <f t="shared" ref="F48:I50" si="18">(F43/E43)^(1/(F$42-E$42))-1</f>
        <v>0</v>
      </c>
      <c r="G48" s="89">
        <f t="shared" si="18"/>
        <v>0</v>
      </c>
      <c r="H48" s="89">
        <f t="shared" si="18"/>
        <v>0</v>
      </c>
      <c r="I48" s="89">
        <f t="shared" si="18"/>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17</v>
      </c>
      <c r="C49" s="4" t="s">
        <v>52</v>
      </c>
      <c r="E49" s="89"/>
      <c r="F49" s="89">
        <f t="shared" si="18"/>
        <v>0</v>
      </c>
      <c r="G49" s="89">
        <f t="shared" si="18"/>
        <v>0</v>
      </c>
      <c r="H49" s="89">
        <f t="shared" si="18"/>
        <v>0</v>
      </c>
      <c r="I49" s="89">
        <f t="shared" si="18"/>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17</v>
      </c>
      <c r="C50" s="4" t="s">
        <v>51</v>
      </c>
      <c r="E50" s="89"/>
      <c r="F50" s="63">
        <f t="shared" si="18"/>
        <v>7.6132872097522952E-3</v>
      </c>
      <c r="G50" s="63">
        <f>(G45/F45)^(1/(G$42-F$42))-1</f>
        <v>1.0584384323237828E-3</v>
      </c>
      <c r="H50" s="63">
        <f>(H45/G45)^(1/(H$42-G$42))-1</f>
        <v>1.3704998771135735E-4</v>
      </c>
      <c r="I50" s="63">
        <f>(I45/H45)^(1/(I$42-H$42))-1</f>
        <v>1.507181627714127E-3</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17</v>
      </c>
      <c r="L51" s="24"/>
    </row>
    <row r="52" spans="1:47" ht="18" thickBot="1">
      <c r="A52" s="4" t="s">
        <v>17</v>
      </c>
      <c r="C52" s="38" t="s">
        <v>301</v>
      </c>
    </row>
    <row r="53" spans="1:47" ht="15" thickTop="1">
      <c r="A53" s="4" t="s">
        <v>17</v>
      </c>
      <c r="D53" s="4" t="s">
        <v>53</v>
      </c>
      <c r="E53" s="4">
        <v>100</v>
      </c>
      <c r="F53" s="4">
        <v>150</v>
      </c>
      <c r="G53" s="4">
        <v>200</v>
      </c>
      <c r="H53" s="41"/>
      <c r="J53" s="4"/>
    </row>
    <row r="54" spans="1:47">
      <c r="A54" s="4" t="s">
        <v>17</v>
      </c>
      <c r="B54" s="4">
        <f>[6]RES!$B32</f>
        <v>0</v>
      </c>
      <c r="C54" s="4" t="str">
        <f>[6]RES!A32</f>
        <v>USE the names but not the numbers in the greyed out stuff, all the balance numbers are taken directly from the energy balance sheet</v>
      </c>
      <c r="E54" s="4">
        <v>0.3</v>
      </c>
      <c r="F54" s="12">
        <v>0.25</v>
      </c>
      <c r="G54" s="12">
        <v>0.2</v>
      </c>
      <c r="H54" s="41"/>
      <c r="J54" s="4"/>
    </row>
    <row r="55" spans="1:47">
      <c r="A55" s="4" t="s">
        <v>17</v>
      </c>
      <c r="B55" s="4" t="str">
        <f>[6]RES!$B33</f>
        <v>Demand</v>
      </c>
      <c r="C55" s="4" t="str">
        <f>[6]RES!A33</f>
        <v>End use demands</v>
      </c>
      <c r="E55" s="4">
        <v>0.1</v>
      </c>
      <c r="F55" s="12">
        <v>0.1</v>
      </c>
      <c r="G55" s="12">
        <v>0.1</v>
      </c>
      <c r="H55" s="41"/>
      <c r="J55" s="4"/>
    </row>
    <row r="56" spans="1:47">
      <c r="A56" s="4" t="s">
        <v>17</v>
      </c>
      <c r="B56" s="4" t="str">
        <f>[6]RES!$B34</f>
        <v>L</v>
      </c>
      <c r="C56" s="4" t="str">
        <f>[6]RES!A34</f>
        <v>Lighting</v>
      </c>
      <c r="E56" s="4">
        <v>0.5</v>
      </c>
      <c r="F56" s="12">
        <v>0.4</v>
      </c>
      <c r="G56" s="12">
        <v>0.3</v>
      </c>
      <c r="H56" s="41"/>
      <c r="J56" s="4"/>
    </row>
    <row r="57" spans="1:47">
      <c r="A57" s="4" t="s">
        <v>17</v>
      </c>
      <c r="B57" s="4" t="str">
        <f>[6]RES!$B35</f>
        <v>K</v>
      </c>
      <c r="C57" s="4" t="str">
        <f>[6]RES!A35</f>
        <v>Cooking</v>
      </c>
      <c r="E57" s="4">
        <v>0.3</v>
      </c>
      <c r="F57" s="12">
        <v>0.25</v>
      </c>
      <c r="G57" s="12">
        <v>0.2</v>
      </c>
      <c r="H57" s="41"/>
      <c r="J57" s="4"/>
    </row>
    <row r="58" spans="1:47">
      <c r="A58" s="4" t="s">
        <v>17</v>
      </c>
      <c r="B58" s="4" t="str">
        <f>[6]RES!$B36</f>
        <v>H</v>
      </c>
      <c r="C58" s="4" t="str">
        <f>[6]RES!A36</f>
        <v>Space Heating</v>
      </c>
      <c r="E58" s="4">
        <v>0.2</v>
      </c>
      <c r="F58" s="12">
        <v>0.15</v>
      </c>
      <c r="G58" s="12">
        <v>0.1</v>
      </c>
      <c r="H58" s="41"/>
      <c r="J58" s="4"/>
    </row>
    <row r="59" spans="1:47">
      <c r="A59" s="4" t="s">
        <v>17</v>
      </c>
      <c r="B59" s="4" t="str">
        <f>[6]RES!$B37</f>
        <v>WG</v>
      </c>
      <c r="C59" s="4" t="str">
        <f>[6]RES!A37</f>
        <v>Water Heating Geyser</v>
      </c>
      <c r="E59" s="4">
        <v>0.5</v>
      </c>
      <c r="F59" s="12">
        <v>0.4</v>
      </c>
      <c r="G59" s="12">
        <v>0.3</v>
      </c>
      <c r="H59" s="41"/>
      <c r="J59" s="4"/>
    </row>
    <row r="60" spans="1:47">
      <c r="A60" s="4" t="s">
        <v>17</v>
      </c>
      <c r="B60" s="4" t="str">
        <f>[6]RES!$B38</f>
        <v>W</v>
      </c>
      <c r="C60" s="4" t="str">
        <f>[6]RES!A38</f>
        <v>Water Heating</v>
      </c>
      <c r="E60" s="4">
        <v>0</v>
      </c>
      <c r="F60" s="12">
        <v>0</v>
      </c>
      <c r="G60" s="12">
        <v>0</v>
      </c>
      <c r="H60" s="41"/>
      <c r="J60" s="4"/>
    </row>
    <row r="61" spans="1:47">
      <c r="A61" s="4" t="s">
        <v>17</v>
      </c>
      <c r="B61" s="25"/>
    </row>
    <row r="62" spans="1:47">
      <c r="A62" s="4" t="s">
        <v>17</v>
      </c>
      <c r="C62" s="5" t="str">
        <f>C52</f>
        <v>High Income Household Elasticities</v>
      </c>
    </row>
    <row r="63" spans="1:47">
      <c r="A63" s="4" t="s">
        <v>17</v>
      </c>
      <c r="C63" s="4" t="str">
        <f>C54</f>
        <v>USE the names but not the numbers in the greyed out stuff, all the balance numbers are taken directly from the energy balance sheet</v>
      </c>
      <c r="E63" s="6">
        <f t="shared" ref="E63:I69" si="19">FORECAST(E$45,$E54:$G54,$E$53:$G$53)</f>
        <v>0.39899999999999997</v>
      </c>
      <c r="F63" s="6">
        <f t="shared" si="19"/>
        <v>0.39893744581391521</v>
      </c>
      <c r="G63" s="6">
        <f t="shared" si="19"/>
        <v>0.39892614561388401</v>
      </c>
      <c r="H63" s="6">
        <f t="shared" si="19"/>
        <v>0.39892467298860323</v>
      </c>
      <c r="I63" s="6">
        <f t="shared" si="19"/>
        <v>0.39890835549258308</v>
      </c>
      <c r="J63" s="4">
        <f>IF(J$7=-1,K63,IF(J$7=99,I63,IF(J$7=0,INDEX($E63:$I63,0,J$5),(INDEX($E63:$I63,0,J$7+1)-INDEX($E63:$I63,0,J$7))/(INDEX($E$4:$I$4,0,J$7+1)-INDEX($E$4:$I$4,0,J$7))+I63)))</f>
        <v>0.39899999999999997</v>
      </c>
      <c r="K63" s="4">
        <f t="shared" ref="K63:AP63" si="20">IF(K$7=-1,L63,IF(K$7=99,J63,IF(K$7=0,INDEX($E63:$I63,0,K$5),(INDEX($E63:$I63,0,K$7+1)-INDEX($E63:$I63,0,K$7))/(INDEX($E$4:$I$4,0,K$7+1)-INDEX($E$4:$I$4,0,K$7))+J63)))</f>
        <v>0.39899218072673936</v>
      </c>
      <c r="L63" s="4">
        <f t="shared" si="20"/>
        <v>0.39898436145347876</v>
      </c>
      <c r="M63" s="4">
        <f t="shared" si="20"/>
        <v>0.39897654218021816</v>
      </c>
      <c r="N63" s="4">
        <f t="shared" si="20"/>
        <v>0.39896872290695756</v>
      </c>
      <c r="O63" s="4">
        <f t="shared" si="20"/>
        <v>0.39896090363369696</v>
      </c>
      <c r="P63" s="4">
        <f t="shared" si="20"/>
        <v>0.39895308436043636</v>
      </c>
      <c r="Q63" s="4">
        <f t="shared" si="20"/>
        <v>0.39894526508717576</v>
      </c>
      <c r="R63" s="4">
        <f t="shared" si="20"/>
        <v>0.39893744581391521</v>
      </c>
      <c r="S63" s="4">
        <f t="shared" si="20"/>
        <v>0.39893631579391209</v>
      </c>
      <c r="T63" s="4">
        <f t="shared" si="20"/>
        <v>0.39893518577390896</v>
      </c>
      <c r="U63" s="4">
        <f t="shared" si="20"/>
        <v>0.39893405575390584</v>
      </c>
      <c r="V63" s="4">
        <f t="shared" si="20"/>
        <v>0.39893292573390271</v>
      </c>
      <c r="W63" s="4">
        <f t="shared" si="20"/>
        <v>0.39893179571389958</v>
      </c>
      <c r="X63" s="4">
        <f t="shared" si="20"/>
        <v>0.39893066569389646</v>
      </c>
      <c r="Y63" s="4">
        <f t="shared" si="20"/>
        <v>0.39892953567389333</v>
      </c>
      <c r="Z63" s="4">
        <f t="shared" si="20"/>
        <v>0.39892840565389021</v>
      </c>
      <c r="AA63" s="4">
        <f t="shared" si="20"/>
        <v>0.39892727563388708</v>
      </c>
      <c r="AB63" s="4">
        <f t="shared" si="20"/>
        <v>0.39892614561388401</v>
      </c>
      <c r="AC63" s="4">
        <f t="shared" si="20"/>
        <v>0.39892599835135595</v>
      </c>
      <c r="AD63" s="4">
        <f t="shared" si="20"/>
        <v>0.39892585108882789</v>
      </c>
      <c r="AE63" s="4">
        <f t="shared" si="20"/>
        <v>0.39892570382629983</v>
      </c>
      <c r="AF63" s="4">
        <f t="shared" si="20"/>
        <v>0.39892555656377177</v>
      </c>
      <c r="AG63" s="4">
        <f t="shared" si="20"/>
        <v>0.39892540930124371</v>
      </c>
      <c r="AH63" s="4">
        <f t="shared" si="20"/>
        <v>0.39892526203871564</v>
      </c>
      <c r="AI63" s="4">
        <f t="shared" si="20"/>
        <v>0.39892511477618758</v>
      </c>
      <c r="AJ63" s="4">
        <f t="shared" si="20"/>
        <v>0.39892496751365952</v>
      </c>
      <c r="AK63" s="4">
        <f t="shared" si="20"/>
        <v>0.39892482025113146</v>
      </c>
      <c r="AL63" s="4">
        <f t="shared" si="20"/>
        <v>0.39892467298860323</v>
      </c>
      <c r="AM63" s="4">
        <f t="shared" si="20"/>
        <v>0.39892304123900124</v>
      </c>
      <c r="AN63" s="4">
        <f t="shared" si="20"/>
        <v>0.39890835549258308</v>
      </c>
      <c r="AO63" s="4">
        <f t="shared" si="20"/>
        <v>0.39890835549258308</v>
      </c>
      <c r="AP63" s="4">
        <f t="shared" si="20"/>
        <v>0.39890835549258308</v>
      </c>
    </row>
    <row r="64" spans="1:47">
      <c r="A64" s="4" t="s">
        <v>17</v>
      </c>
      <c r="C64" s="4" t="str">
        <f t="shared" ref="C64:C69" si="21">C55</f>
        <v>End use demands</v>
      </c>
      <c r="E64" s="6">
        <f t="shared" si="19"/>
        <v>0.10000000000000002</v>
      </c>
      <c r="F64" s="6">
        <f t="shared" si="19"/>
        <v>0.10000000000000002</v>
      </c>
      <c r="G64" s="6">
        <f t="shared" si="19"/>
        <v>0.10000000000000002</v>
      </c>
      <c r="H64" s="6">
        <f t="shared" si="19"/>
        <v>0.10000000000000002</v>
      </c>
      <c r="I64" s="6">
        <f t="shared" si="19"/>
        <v>0.10000000000000002</v>
      </c>
      <c r="J64" s="4">
        <f t="shared" ref="J64:AP64" si="22">IF(J$7=-1,K64,IF(J$7=99,I64,IF(J$7=0,INDEX($E64:$I64,0,J$5),(INDEX($E64:$I64,0,J$7+1)-INDEX($E64:$I64,0,J$7))/(INDEX($E$4:$I$4,0,J$7+1)-INDEX($E$4:$I$4,0,J$7))+I64)))</f>
        <v>0.10000000000000002</v>
      </c>
      <c r="K64" s="4">
        <f t="shared" si="22"/>
        <v>0.10000000000000002</v>
      </c>
      <c r="L64" s="4">
        <f t="shared" si="22"/>
        <v>0.10000000000000002</v>
      </c>
      <c r="M64" s="4">
        <f t="shared" si="22"/>
        <v>0.10000000000000002</v>
      </c>
      <c r="N64" s="4">
        <f t="shared" si="22"/>
        <v>0.10000000000000002</v>
      </c>
      <c r="O64" s="4">
        <f t="shared" si="22"/>
        <v>0.10000000000000002</v>
      </c>
      <c r="P64" s="4">
        <f t="shared" si="22"/>
        <v>0.10000000000000002</v>
      </c>
      <c r="Q64" s="4">
        <f t="shared" si="22"/>
        <v>0.10000000000000002</v>
      </c>
      <c r="R64" s="4">
        <f t="shared" si="22"/>
        <v>0.10000000000000002</v>
      </c>
      <c r="S64" s="4">
        <f t="shared" si="22"/>
        <v>0.10000000000000002</v>
      </c>
      <c r="T64" s="4">
        <f t="shared" si="22"/>
        <v>0.10000000000000002</v>
      </c>
      <c r="U64" s="4">
        <f t="shared" si="22"/>
        <v>0.10000000000000002</v>
      </c>
      <c r="V64" s="4">
        <f t="shared" si="22"/>
        <v>0.10000000000000002</v>
      </c>
      <c r="W64" s="4">
        <f t="shared" si="22"/>
        <v>0.10000000000000002</v>
      </c>
      <c r="X64" s="4">
        <f t="shared" si="22"/>
        <v>0.10000000000000002</v>
      </c>
      <c r="Y64" s="4">
        <f t="shared" si="22"/>
        <v>0.10000000000000002</v>
      </c>
      <c r="Z64" s="4">
        <f t="shared" si="22"/>
        <v>0.10000000000000002</v>
      </c>
      <c r="AA64" s="4">
        <f t="shared" si="22"/>
        <v>0.10000000000000002</v>
      </c>
      <c r="AB64" s="4">
        <f t="shared" si="22"/>
        <v>0.10000000000000002</v>
      </c>
      <c r="AC64" s="4">
        <f t="shared" si="22"/>
        <v>0.10000000000000002</v>
      </c>
      <c r="AD64" s="4">
        <f t="shared" si="22"/>
        <v>0.10000000000000002</v>
      </c>
      <c r="AE64" s="4">
        <f t="shared" si="22"/>
        <v>0.10000000000000002</v>
      </c>
      <c r="AF64" s="4">
        <f t="shared" si="22"/>
        <v>0.10000000000000002</v>
      </c>
      <c r="AG64" s="4">
        <f t="shared" si="22"/>
        <v>0.10000000000000002</v>
      </c>
      <c r="AH64" s="4">
        <f t="shared" si="22"/>
        <v>0.10000000000000002</v>
      </c>
      <c r="AI64" s="4">
        <f t="shared" si="22"/>
        <v>0.10000000000000002</v>
      </c>
      <c r="AJ64" s="4">
        <f t="shared" si="22"/>
        <v>0.10000000000000002</v>
      </c>
      <c r="AK64" s="4">
        <f t="shared" si="22"/>
        <v>0.10000000000000002</v>
      </c>
      <c r="AL64" s="4">
        <f t="shared" si="22"/>
        <v>0.10000000000000002</v>
      </c>
      <c r="AM64" s="4">
        <f t="shared" si="22"/>
        <v>0.10000000000000002</v>
      </c>
      <c r="AN64" s="4">
        <f t="shared" si="22"/>
        <v>0.10000000000000002</v>
      </c>
      <c r="AO64" s="4">
        <f t="shared" si="22"/>
        <v>0.10000000000000002</v>
      </c>
      <c r="AP64" s="4">
        <f t="shared" si="22"/>
        <v>0.10000000000000002</v>
      </c>
    </row>
    <row r="65" spans="1:42">
      <c r="A65" s="4" t="s">
        <v>17</v>
      </c>
      <c r="C65" s="4" t="str">
        <f t="shared" si="21"/>
        <v>Lighting</v>
      </c>
      <c r="E65" s="6">
        <f t="shared" si="19"/>
        <v>0.69799999999999995</v>
      </c>
      <c r="F65" s="6">
        <f t="shared" si="19"/>
        <v>0.69787489162783045</v>
      </c>
      <c r="G65" s="6">
        <f t="shared" si="19"/>
        <v>0.69785229122776804</v>
      </c>
      <c r="H65" s="6">
        <f t="shared" si="19"/>
        <v>0.69784934597720649</v>
      </c>
      <c r="I65" s="6">
        <f t="shared" si="19"/>
        <v>0.69781671098516618</v>
      </c>
      <c r="J65" s="4">
        <f t="shared" ref="J65:AP65" si="23">IF(J$7=-1,K65,IF(J$7=99,I65,IF(J$7=0,INDEX($E65:$I65,0,J$5),(INDEX($E65:$I65,0,J$7+1)-INDEX($E65:$I65,0,J$7))/(INDEX($E$4:$I$4,0,J$7+1)-INDEX($E$4:$I$4,0,J$7))+I65)))</f>
        <v>0.69799999999999995</v>
      </c>
      <c r="K65" s="4">
        <f t="shared" si="23"/>
        <v>0.69798436145347875</v>
      </c>
      <c r="L65" s="4">
        <f t="shared" si="23"/>
        <v>0.69796872290695755</v>
      </c>
      <c r="M65" s="4">
        <f t="shared" si="23"/>
        <v>0.69795308436043635</v>
      </c>
      <c r="N65" s="4">
        <f t="shared" si="23"/>
        <v>0.69793744581391515</v>
      </c>
      <c r="O65" s="4">
        <f t="shared" si="23"/>
        <v>0.69792180726739395</v>
      </c>
      <c r="P65" s="4">
        <f t="shared" si="23"/>
        <v>0.69790616872087274</v>
      </c>
      <c r="Q65" s="4">
        <f t="shared" si="23"/>
        <v>0.69789053017435154</v>
      </c>
      <c r="R65" s="4">
        <f t="shared" si="23"/>
        <v>0.69787489162783045</v>
      </c>
      <c r="S65" s="4">
        <f t="shared" si="23"/>
        <v>0.6978726315878242</v>
      </c>
      <c r="T65" s="4">
        <f t="shared" si="23"/>
        <v>0.69787037154781795</v>
      </c>
      <c r="U65" s="4">
        <f t="shared" si="23"/>
        <v>0.69786811150781169</v>
      </c>
      <c r="V65" s="4">
        <f t="shared" si="23"/>
        <v>0.69786585146780544</v>
      </c>
      <c r="W65" s="4">
        <f t="shared" si="23"/>
        <v>0.69786359142779919</v>
      </c>
      <c r="X65" s="4">
        <f t="shared" si="23"/>
        <v>0.69786133138779294</v>
      </c>
      <c r="Y65" s="4">
        <f t="shared" si="23"/>
        <v>0.69785907134778669</v>
      </c>
      <c r="Z65" s="4">
        <f t="shared" si="23"/>
        <v>0.69785681130778043</v>
      </c>
      <c r="AA65" s="4">
        <f t="shared" si="23"/>
        <v>0.69785455126777418</v>
      </c>
      <c r="AB65" s="4">
        <f t="shared" si="23"/>
        <v>0.69785229122776804</v>
      </c>
      <c r="AC65" s="4">
        <f t="shared" si="23"/>
        <v>0.69785199670271192</v>
      </c>
      <c r="AD65" s="4">
        <f t="shared" si="23"/>
        <v>0.6978517021776558</v>
      </c>
      <c r="AE65" s="4">
        <f t="shared" si="23"/>
        <v>0.69785140765259968</v>
      </c>
      <c r="AF65" s="4">
        <f t="shared" si="23"/>
        <v>0.69785111312754355</v>
      </c>
      <c r="AG65" s="4">
        <f t="shared" si="23"/>
        <v>0.69785081860248743</v>
      </c>
      <c r="AH65" s="4">
        <f t="shared" si="23"/>
        <v>0.69785052407743131</v>
      </c>
      <c r="AI65" s="4">
        <f t="shared" si="23"/>
        <v>0.69785022955237519</v>
      </c>
      <c r="AJ65" s="4">
        <f t="shared" si="23"/>
        <v>0.69784993502731907</v>
      </c>
      <c r="AK65" s="4">
        <f t="shared" si="23"/>
        <v>0.69784964050226295</v>
      </c>
      <c r="AL65" s="4">
        <f t="shared" si="23"/>
        <v>0.69784934597720649</v>
      </c>
      <c r="AM65" s="4">
        <f t="shared" si="23"/>
        <v>0.69784608247800251</v>
      </c>
      <c r="AN65" s="4">
        <f t="shared" si="23"/>
        <v>0.69781671098516618</v>
      </c>
      <c r="AO65" s="4">
        <f t="shared" si="23"/>
        <v>0.69781671098516618</v>
      </c>
      <c r="AP65" s="4">
        <f t="shared" si="23"/>
        <v>0.69781671098516618</v>
      </c>
    </row>
    <row r="66" spans="1:42">
      <c r="A66" s="4" t="s">
        <v>17</v>
      </c>
      <c r="C66" s="4" t="str">
        <f t="shared" si="21"/>
        <v>Cooking</v>
      </c>
      <c r="E66" s="6">
        <f t="shared" si="19"/>
        <v>0.39899999999999997</v>
      </c>
      <c r="F66" s="6">
        <f t="shared" si="19"/>
        <v>0.39893744581391521</v>
      </c>
      <c r="G66" s="6">
        <f t="shared" si="19"/>
        <v>0.39892614561388401</v>
      </c>
      <c r="H66" s="6">
        <f t="shared" si="19"/>
        <v>0.39892467298860323</v>
      </c>
      <c r="I66" s="6">
        <f t="shared" si="19"/>
        <v>0.39890835549258308</v>
      </c>
      <c r="J66" s="4">
        <f t="shared" ref="J66:AP66" si="24">IF(J$7=-1,K66,IF(J$7=99,I66,IF(J$7=0,INDEX($E66:$I66,0,J$5),(INDEX($E66:$I66,0,J$7+1)-INDEX($E66:$I66,0,J$7))/(INDEX($E$4:$I$4,0,J$7+1)-INDEX($E$4:$I$4,0,J$7))+I66)))</f>
        <v>0.39899999999999997</v>
      </c>
      <c r="K66" s="4">
        <f t="shared" si="24"/>
        <v>0.39899218072673936</v>
      </c>
      <c r="L66" s="4">
        <f t="shared" si="24"/>
        <v>0.39898436145347876</v>
      </c>
      <c r="M66" s="4">
        <f t="shared" si="24"/>
        <v>0.39897654218021816</v>
      </c>
      <c r="N66" s="4">
        <f t="shared" si="24"/>
        <v>0.39896872290695756</v>
      </c>
      <c r="O66" s="4">
        <f t="shared" si="24"/>
        <v>0.39896090363369696</v>
      </c>
      <c r="P66" s="4">
        <f t="shared" si="24"/>
        <v>0.39895308436043636</v>
      </c>
      <c r="Q66" s="4">
        <f t="shared" si="24"/>
        <v>0.39894526508717576</v>
      </c>
      <c r="R66" s="4">
        <f t="shared" si="24"/>
        <v>0.39893744581391521</v>
      </c>
      <c r="S66" s="4">
        <f t="shared" si="24"/>
        <v>0.39893631579391209</v>
      </c>
      <c r="T66" s="4">
        <f t="shared" si="24"/>
        <v>0.39893518577390896</v>
      </c>
      <c r="U66" s="4">
        <f t="shared" si="24"/>
        <v>0.39893405575390584</v>
      </c>
      <c r="V66" s="4">
        <f t="shared" si="24"/>
        <v>0.39893292573390271</v>
      </c>
      <c r="W66" s="4">
        <f t="shared" si="24"/>
        <v>0.39893179571389958</v>
      </c>
      <c r="X66" s="4">
        <f t="shared" si="24"/>
        <v>0.39893066569389646</v>
      </c>
      <c r="Y66" s="4">
        <f t="shared" si="24"/>
        <v>0.39892953567389333</v>
      </c>
      <c r="Z66" s="4">
        <f t="shared" si="24"/>
        <v>0.39892840565389021</v>
      </c>
      <c r="AA66" s="4">
        <f t="shared" si="24"/>
        <v>0.39892727563388708</v>
      </c>
      <c r="AB66" s="4">
        <f t="shared" si="24"/>
        <v>0.39892614561388401</v>
      </c>
      <c r="AC66" s="4">
        <f t="shared" si="24"/>
        <v>0.39892599835135595</v>
      </c>
      <c r="AD66" s="4">
        <f t="shared" si="24"/>
        <v>0.39892585108882789</v>
      </c>
      <c r="AE66" s="4">
        <f t="shared" si="24"/>
        <v>0.39892570382629983</v>
      </c>
      <c r="AF66" s="4">
        <f t="shared" si="24"/>
        <v>0.39892555656377177</v>
      </c>
      <c r="AG66" s="4">
        <f t="shared" si="24"/>
        <v>0.39892540930124371</v>
      </c>
      <c r="AH66" s="4">
        <f t="shared" si="24"/>
        <v>0.39892526203871564</v>
      </c>
      <c r="AI66" s="4">
        <f t="shared" si="24"/>
        <v>0.39892511477618758</v>
      </c>
      <c r="AJ66" s="4">
        <f t="shared" si="24"/>
        <v>0.39892496751365952</v>
      </c>
      <c r="AK66" s="4">
        <f t="shared" si="24"/>
        <v>0.39892482025113146</v>
      </c>
      <c r="AL66" s="4">
        <f t="shared" si="24"/>
        <v>0.39892467298860323</v>
      </c>
      <c r="AM66" s="4">
        <f t="shared" si="24"/>
        <v>0.39892304123900124</v>
      </c>
      <c r="AN66" s="4">
        <f t="shared" si="24"/>
        <v>0.39890835549258308</v>
      </c>
      <c r="AO66" s="4">
        <f t="shared" si="24"/>
        <v>0.39890835549258308</v>
      </c>
      <c r="AP66" s="4">
        <f t="shared" si="24"/>
        <v>0.39890835549258308</v>
      </c>
    </row>
    <row r="67" spans="1:42">
      <c r="A67" s="4" t="s">
        <v>17</v>
      </c>
      <c r="C67" s="4" t="str">
        <f t="shared" si="21"/>
        <v>Space Heating</v>
      </c>
      <c r="E67" s="6">
        <f t="shared" si="19"/>
        <v>0.29899999999999999</v>
      </c>
      <c r="F67" s="6">
        <f t="shared" si="19"/>
        <v>0.29893744581391524</v>
      </c>
      <c r="G67" s="6">
        <f t="shared" si="19"/>
        <v>0.29892614561388403</v>
      </c>
      <c r="H67" s="6">
        <f t="shared" si="19"/>
        <v>0.29892467298860326</v>
      </c>
      <c r="I67" s="6">
        <f t="shared" si="19"/>
        <v>0.2989083554925831</v>
      </c>
      <c r="J67" s="4">
        <f t="shared" ref="J67:AP67" si="25">IF(J$7=-1,K67,IF(J$7=99,I67,IF(J$7=0,INDEX($E67:$I67,0,J$5),(INDEX($E67:$I67,0,J$7+1)-INDEX($E67:$I67,0,J$7))/(INDEX($E$4:$I$4,0,J$7+1)-INDEX($E$4:$I$4,0,J$7))+I67)))</f>
        <v>0.29899999999999999</v>
      </c>
      <c r="K67" s="4">
        <f t="shared" si="25"/>
        <v>0.29899218072673939</v>
      </c>
      <c r="L67" s="4">
        <f t="shared" si="25"/>
        <v>0.29898436145347879</v>
      </c>
      <c r="M67" s="4">
        <f t="shared" si="25"/>
        <v>0.29897654218021819</v>
      </c>
      <c r="N67" s="4">
        <f t="shared" si="25"/>
        <v>0.29896872290695758</v>
      </c>
      <c r="O67" s="4">
        <f t="shared" si="25"/>
        <v>0.29896090363369698</v>
      </c>
      <c r="P67" s="4">
        <f t="shared" si="25"/>
        <v>0.29895308436043638</v>
      </c>
      <c r="Q67" s="4">
        <f t="shared" si="25"/>
        <v>0.29894526508717578</v>
      </c>
      <c r="R67" s="4">
        <f t="shared" si="25"/>
        <v>0.29893744581391524</v>
      </c>
      <c r="S67" s="4">
        <f t="shared" si="25"/>
        <v>0.29893631579391211</v>
      </c>
      <c r="T67" s="4">
        <f t="shared" si="25"/>
        <v>0.29893518577390898</v>
      </c>
      <c r="U67" s="4">
        <f t="shared" si="25"/>
        <v>0.29893405575390586</v>
      </c>
      <c r="V67" s="4">
        <f t="shared" si="25"/>
        <v>0.29893292573390273</v>
      </c>
      <c r="W67" s="4">
        <f t="shared" si="25"/>
        <v>0.29893179571389961</v>
      </c>
      <c r="X67" s="4">
        <f t="shared" si="25"/>
        <v>0.29893066569389648</v>
      </c>
      <c r="Y67" s="4">
        <f t="shared" si="25"/>
        <v>0.29892953567389335</v>
      </c>
      <c r="Z67" s="4">
        <f t="shared" si="25"/>
        <v>0.29892840565389023</v>
      </c>
      <c r="AA67" s="4">
        <f t="shared" si="25"/>
        <v>0.2989272756338871</v>
      </c>
      <c r="AB67" s="4">
        <f t="shared" si="25"/>
        <v>0.29892614561388403</v>
      </c>
      <c r="AC67" s="4">
        <f t="shared" si="25"/>
        <v>0.29892599835135597</v>
      </c>
      <c r="AD67" s="4">
        <f t="shared" si="25"/>
        <v>0.29892585108882791</v>
      </c>
      <c r="AE67" s="4">
        <f t="shared" si="25"/>
        <v>0.29892570382629985</v>
      </c>
      <c r="AF67" s="4">
        <f t="shared" si="25"/>
        <v>0.29892555656377179</v>
      </c>
      <c r="AG67" s="4">
        <f t="shared" si="25"/>
        <v>0.29892540930124373</v>
      </c>
      <c r="AH67" s="4">
        <f t="shared" si="25"/>
        <v>0.29892526203871567</v>
      </c>
      <c r="AI67" s="4">
        <f t="shared" si="25"/>
        <v>0.29892511477618761</v>
      </c>
      <c r="AJ67" s="4">
        <f t="shared" si="25"/>
        <v>0.29892496751365955</v>
      </c>
      <c r="AK67" s="4">
        <f t="shared" si="25"/>
        <v>0.29892482025113148</v>
      </c>
      <c r="AL67" s="4">
        <f t="shared" si="25"/>
        <v>0.29892467298860326</v>
      </c>
      <c r="AM67" s="4">
        <f t="shared" si="25"/>
        <v>0.29892304123900126</v>
      </c>
      <c r="AN67" s="4">
        <f t="shared" si="25"/>
        <v>0.2989083554925831</v>
      </c>
      <c r="AO67" s="4">
        <f t="shared" si="25"/>
        <v>0.2989083554925831</v>
      </c>
      <c r="AP67" s="4">
        <f t="shared" si="25"/>
        <v>0.2989083554925831</v>
      </c>
    </row>
    <row r="68" spans="1:42">
      <c r="A68" s="4" t="s">
        <v>17</v>
      </c>
      <c r="C68" s="4" t="str">
        <f t="shared" si="21"/>
        <v>Water Heating Geyser</v>
      </c>
      <c r="E68" s="6">
        <f t="shared" si="19"/>
        <v>0.69799999999999995</v>
      </c>
      <c r="F68" s="6">
        <f t="shared" si="19"/>
        <v>0.69787489162783045</v>
      </c>
      <c r="G68" s="6">
        <f t="shared" si="19"/>
        <v>0.69785229122776804</v>
      </c>
      <c r="H68" s="6">
        <f t="shared" si="19"/>
        <v>0.69784934597720649</v>
      </c>
      <c r="I68" s="6">
        <f t="shared" si="19"/>
        <v>0.69781671098516618</v>
      </c>
      <c r="J68" s="4">
        <f t="shared" ref="J68:AP68" si="26">IF(J$7=-1,K68,IF(J$7=99,I68,IF(J$7=0,INDEX($E68:$I68,0,J$5),(INDEX($E68:$I68,0,J$7+1)-INDEX($E68:$I68,0,J$7))/(INDEX($E$4:$I$4,0,J$7+1)-INDEX($E$4:$I$4,0,J$7))+I68)))</f>
        <v>0.69799999999999995</v>
      </c>
      <c r="K68" s="4">
        <f t="shared" si="26"/>
        <v>0.69798436145347875</v>
      </c>
      <c r="L68" s="4">
        <f t="shared" si="26"/>
        <v>0.69796872290695755</v>
      </c>
      <c r="M68" s="4">
        <f t="shared" si="26"/>
        <v>0.69795308436043635</v>
      </c>
      <c r="N68" s="4">
        <f t="shared" si="26"/>
        <v>0.69793744581391515</v>
      </c>
      <c r="O68" s="4">
        <f t="shared" si="26"/>
        <v>0.69792180726739395</v>
      </c>
      <c r="P68" s="4">
        <f t="shared" si="26"/>
        <v>0.69790616872087274</v>
      </c>
      <c r="Q68" s="4">
        <f t="shared" si="26"/>
        <v>0.69789053017435154</v>
      </c>
      <c r="R68" s="4">
        <f t="shared" si="26"/>
        <v>0.69787489162783045</v>
      </c>
      <c r="S68" s="4">
        <f t="shared" si="26"/>
        <v>0.6978726315878242</v>
      </c>
      <c r="T68" s="4">
        <f t="shared" si="26"/>
        <v>0.69787037154781795</v>
      </c>
      <c r="U68" s="4">
        <f t="shared" si="26"/>
        <v>0.69786811150781169</v>
      </c>
      <c r="V68" s="4">
        <f t="shared" si="26"/>
        <v>0.69786585146780544</v>
      </c>
      <c r="W68" s="4">
        <f t="shared" si="26"/>
        <v>0.69786359142779919</v>
      </c>
      <c r="X68" s="4">
        <f t="shared" si="26"/>
        <v>0.69786133138779294</v>
      </c>
      <c r="Y68" s="4">
        <f t="shared" si="26"/>
        <v>0.69785907134778669</v>
      </c>
      <c r="Z68" s="4">
        <f t="shared" si="26"/>
        <v>0.69785681130778043</v>
      </c>
      <c r="AA68" s="4">
        <f t="shared" si="26"/>
        <v>0.69785455126777418</v>
      </c>
      <c r="AB68" s="4">
        <f t="shared" si="26"/>
        <v>0.69785229122776804</v>
      </c>
      <c r="AC68" s="4">
        <f t="shared" si="26"/>
        <v>0.69785199670271192</v>
      </c>
      <c r="AD68" s="4">
        <f t="shared" si="26"/>
        <v>0.6978517021776558</v>
      </c>
      <c r="AE68" s="4">
        <f t="shared" si="26"/>
        <v>0.69785140765259968</v>
      </c>
      <c r="AF68" s="4">
        <f t="shared" si="26"/>
        <v>0.69785111312754355</v>
      </c>
      <c r="AG68" s="4">
        <f t="shared" si="26"/>
        <v>0.69785081860248743</v>
      </c>
      <c r="AH68" s="4">
        <f t="shared" si="26"/>
        <v>0.69785052407743131</v>
      </c>
      <c r="AI68" s="4">
        <f t="shared" si="26"/>
        <v>0.69785022955237519</v>
      </c>
      <c r="AJ68" s="4">
        <f t="shared" si="26"/>
        <v>0.69784993502731907</v>
      </c>
      <c r="AK68" s="4">
        <f t="shared" si="26"/>
        <v>0.69784964050226295</v>
      </c>
      <c r="AL68" s="4">
        <f t="shared" si="26"/>
        <v>0.69784934597720649</v>
      </c>
      <c r="AM68" s="4">
        <f t="shared" si="26"/>
        <v>0.69784608247800251</v>
      </c>
      <c r="AN68" s="4">
        <f t="shared" si="26"/>
        <v>0.69781671098516618</v>
      </c>
      <c r="AO68" s="4">
        <f t="shared" si="26"/>
        <v>0.69781671098516618</v>
      </c>
      <c r="AP68" s="4">
        <f t="shared" si="26"/>
        <v>0.69781671098516618</v>
      </c>
    </row>
    <row r="69" spans="1:42">
      <c r="A69" s="4" t="s">
        <v>17</v>
      </c>
      <c r="C69" s="4" t="str">
        <f t="shared" si="21"/>
        <v>Water Heating</v>
      </c>
      <c r="E69" s="6">
        <f t="shared" si="19"/>
        <v>0</v>
      </c>
      <c r="F69" s="6">
        <f t="shared" si="19"/>
        <v>0</v>
      </c>
      <c r="G69" s="6">
        <f t="shared" si="19"/>
        <v>0</v>
      </c>
      <c r="H69" s="6">
        <f t="shared" si="19"/>
        <v>0</v>
      </c>
      <c r="I69" s="6">
        <f t="shared" si="19"/>
        <v>0</v>
      </c>
      <c r="J69" s="4">
        <f t="shared" ref="J69:AP69" si="27">IF(J$7=-1,K69,IF(J$7=99,I69,IF(J$7=0,INDEX($E69:$I69,0,J$5),(INDEX($E69:$I69,0,J$7+1)-INDEX($E69:$I69,0,J$7))/(INDEX($E$4:$I$4,0,J$7+1)-INDEX($E$4:$I$4,0,J$7))+I69)))</f>
        <v>0</v>
      </c>
      <c r="K69" s="4">
        <f t="shared" si="27"/>
        <v>0</v>
      </c>
      <c r="L69" s="4">
        <f t="shared" si="27"/>
        <v>0</v>
      </c>
      <c r="M69" s="4">
        <f t="shared" si="27"/>
        <v>0</v>
      </c>
      <c r="N69" s="4">
        <f t="shared" si="27"/>
        <v>0</v>
      </c>
      <c r="O69" s="4">
        <f t="shared" si="27"/>
        <v>0</v>
      </c>
      <c r="P69" s="4">
        <f t="shared" si="27"/>
        <v>0</v>
      </c>
      <c r="Q69" s="4">
        <f t="shared" si="27"/>
        <v>0</v>
      </c>
      <c r="R69" s="4">
        <f t="shared" si="27"/>
        <v>0</v>
      </c>
      <c r="S69" s="4">
        <f t="shared" si="27"/>
        <v>0</v>
      </c>
      <c r="T69" s="4">
        <f t="shared" si="27"/>
        <v>0</v>
      </c>
      <c r="U69" s="4">
        <f t="shared" si="27"/>
        <v>0</v>
      </c>
      <c r="V69" s="4">
        <f t="shared" si="27"/>
        <v>0</v>
      </c>
      <c r="W69" s="4">
        <f t="shared" si="27"/>
        <v>0</v>
      </c>
      <c r="X69" s="4">
        <f t="shared" si="27"/>
        <v>0</v>
      </c>
      <c r="Y69" s="4">
        <f t="shared" si="27"/>
        <v>0</v>
      </c>
      <c r="Z69" s="4">
        <f t="shared" si="27"/>
        <v>0</v>
      </c>
      <c r="AA69" s="4">
        <f t="shared" si="27"/>
        <v>0</v>
      </c>
      <c r="AB69" s="4">
        <f t="shared" si="27"/>
        <v>0</v>
      </c>
      <c r="AC69" s="4">
        <f t="shared" si="27"/>
        <v>0</v>
      </c>
      <c r="AD69" s="4">
        <f t="shared" si="27"/>
        <v>0</v>
      </c>
      <c r="AE69" s="4">
        <f t="shared" si="27"/>
        <v>0</v>
      </c>
      <c r="AF69" s="4">
        <f t="shared" si="27"/>
        <v>0</v>
      </c>
      <c r="AG69" s="4">
        <f t="shared" si="27"/>
        <v>0</v>
      </c>
      <c r="AH69" s="4">
        <f t="shared" si="27"/>
        <v>0</v>
      </c>
      <c r="AI69" s="4">
        <f t="shared" si="27"/>
        <v>0</v>
      </c>
      <c r="AJ69" s="4">
        <f t="shared" si="27"/>
        <v>0</v>
      </c>
      <c r="AK69" s="4">
        <f t="shared" si="27"/>
        <v>0</v>
      </c>
      <c r="AL69" s="4">
        <f t="shared" si="27"/>
        <v>0</v>
      </c>
      <c r="AM69" s="4">
        <f t="shared" si="27"/>
        <v>0</v>
      </c>
      <c r="AN69" s="4">
        <f t="shared" si="27"/>
        <v>0</v>
      </c>
      <c r="AO69" s="4">
        <f t="shared" si="27"/>
        <v>0</v>
      </c>
      <c r="AP69" s="4">
        <f t="shared" si="27"/>
        <v>0</v>
      </c>
    </row>
    <row r="70" spans="1:42">
      <c r="A70" s="4" t="s">
        <v>17</v>
      </c>
    </row>
    <row r="71" spans="1:42" s="227" customFormat="1">
      <c r="A71" s="227" t="s">
        <v>17</v>
      </c>
      <c r="C71" s="250" t="s">
        <v>608</v>
      </c>
      <c r="D71" s="251" t="s">
        <v>609</v>
      </c>
      <c r="E71" s="252"/>
      <c r="F71" s="252"/>
      <c r="G71" s="252"/>
      <c r="H71" s="252"/>
      <c r="I71" s="252"/>
      <c r="J71" s="251"/>
      <c r="K71" s="251"/>
      <c r="L71" s="251"/>
      <c r="M71" s="251"/>
      <c r="N71" s="251"/>
    </row>
    <row r="72" spans="1:42" s="227" customFormat="1">
      <c r="A72" s="227" t="s">
        <v>17</v>
      </c>
      <c r="E72" s="228"/>
      <c r="F72" s="228"/>
      <c r="G72" s="228"/>
      <c r="H72" s="228"/>
      <c r="I72" s="228"/>
    </row>
    <row r="73" spans="1:42" s="227" customFormat="1">
      <c r="A73" s="227" t="s">
        <v>17</v>
      </c>
      <c r="E73" s="228"/>
      <c r="F73" s="228"/>
      <c r="G73" s="228"/>
      <c r="H73" s="228"/>
      <c r="I73" s="228"/>
      <c r="J73" s="227">
        <f>J94</f>
        <v>2012</v>
      </c>
      <c r="K73" s="227">
        <f t="shared" ref="K73:AP73" si="28">K94</f>
        <v>2013</v>
      </c>
      <c r="L73" s="227">
        <f t="shared" si="28"/>
        <v>2014</v>
      </c>
      <c r="M73" s="227">
        <f t="shared" si="28"/>
        <v>2015</v>
      </c>
      <c r="N73" s="227">
        <f t="shared" si="28"/>
        <v>2016</v>
      </c>
      <c r="O73" s="227">
        <f t="shared" si="28"/>
        <v>2017</v>
      </c>
      <c r="P73" s="227">
        <f t="shared" si="28"/>
        <v>2018</v>
      </c>
      <c r="Q73" s="227">
        <f t="shared" si="28"/>
        <v>2019</v>
      </c>
      <c r="R73" s="227">
        <f t="shared" si="28"/>
        <v>2020</v>
      </c>
      <c r="S73" s="227">
        <f t="shared" si="28"/>
        <v>2021</v>
      </c>
      <c r="T73" s="227">
        <f t="shared" si="28"/>
        <v>2022</v>
      </c>
      <c r="U73" s="227">
        <f t="shared" si="28"/>
        <v>2023</v>
      </c>
      <c r="V73" s="227">
        <f t="shared" si="28"/>
        <v>2024</v>
      </c>
      <c r="W73" s="227">
        <f t="shared" si="28"/>
        <v>2025</v>
      </c>
      <c r="X73" s="227">
        <f t="shared" si="28"/>
        <v>2026</v>
      </c>
      <c r="Y73" s="227">
        <f t="shared" si="28"/>
        <v>2027</v>
      </c>
      <c r="Z73" s="227">
        <f t="shared" si="28"/>
        <v>2028</v>
      </c>
      <c r="AA73" s="227">
        <f t="shared" si="28"/>
        <v>2029</v>
      </c>
      <c r="AB73" s="227">
        <f t="shared" si="28"/>
        <v>2030</v>
      </c>
      <c r="AC73" s="227">
        <f t="shared" si="28"/>
        <v>2031</v>
      </c>
      <c r="AD73" s="227">
        <f t="shared" si="28"/>
        <v>2032</v>
      </c>
      <c r="AE73" s="227">
        <f t="shared" si="28"/>
        <v>2033</v>
      </c>
      <c r="AF73" s="227">
        <f t="shared" si="28"/>
        <v>2034</v>
      </c>
      <c r="AG73" s="227">
        <f t="shared" si="28"/>
        <v>2035</v>
      </c>
      <c r="AH73" s="227">
        <f t="shared" si="28"/>
        <v>2036</v>
      </c>
      <c r="AI73" s="227">
        <f t="shared" si="28"/>
        <v>2037</v>
      </c>
      <c r="AJ73" s="227">
        <f t="shared" si="28"/>
        <v>2038</v>
      </c>
      <c r="AK73" s="227">
        <f t="shared" si="28"/>
        <v>2039</v>
      </c>
      <c r="AL73" s="227">
        <f t="shared" si="28"/>
        <v>2040</v>
      </c>
      <c r="AM73" s="227">
        <f t="shared" si="28"/>
        <v>2045</v>
      </c>
      <c r="AN73" s="227">
        <f t="shared" si="28"/>
        <v>2050</v>
      </c>
      <c r="AO73" s="227">
        <f t="shared" si="28"/>
        <v>2060</v>
      </c>
      <c r="AP73" s="227">
        <f t="shared" si="28"/>
        <v>2070</v>
      </c>
    </row>
    <row r="74" spans="1:42" s="227" customFormat="1">
      <c r="A74" s="227" t="s">
        <v>17</v>
      </c>
      <c r="C74" s="227" t="s">
        <v>610</v>
      </c>
      <c r="E74" s="228"/>
      <c r="F74" s="228"/>
      <c r="G74" s="228"/>
      <c r="H74" s="228"/>
      <c r="I74" s="228"/>
      <c r="J74" s="228">
        <f>SUM(J98,J108,J118,J127,J134)</f>
        <v>39.225327352897736</v>
      </c>
      <c r="K74" s="228">
        <f t="shared" ref="K74:AP74" si="29">SUM(K98,K108,K118,K127,K134)</f>
        <v>41.055106333823794</v>
      </c>
      <c r="L74" s="228">
        <f t="shared" si="29"/>
        <v>42.884885314749845</v>
      </c>
      <c r="M74" s="228">
        <f t="shared" si="29"/>
        <v>44.714664295675895</v>
      </c>
      <c r="N74" s="228">
        <f t="shared" si="29"/>
        <v>46.544443276601946</v>
      </c>
      <c r="O74" s="228">
        <f t="shared" si="29"/>
        <v>48.374222257527997</v>
      </c>
      <c r="P74" s="228">
        <f t="shared" ca="1" si="29"/>
        <v>47.461621546735685</v>
      </c>
      <c r="Q74" s="228">
        <f t="shared" ca="1" si="29"/>
        <v>48.330906295042389</v>
      </c>
      <c r="R74" s="228">
        <f t="shared" ca="1" si="29"/>
        <v>49.208069067928704</v>
      </c>
      <c r="S74" s="228">
        <f t="shared" ca="1" si="29"/>
        <v>49.919798884209996</v>
      </c>
      <c r="T74" s="228">
        <f t="shared" ca="1" si="29"/>
        <v>50.636139794724151</v>
      </c>
      <c r="U74" s="228">
        <f t="shared" ca="1" si="29"/>
        <v>51.357091909246108</v>
      </c>
      <c r="V74" s="228">
        <f t="shared" ca="1" si="29"/>
        <v>52.082655337550882</v>
      </c>
      <c r="W74" s="228">
        <f t="shared" ca="1" si="29"/>
        <v>52.812830189413482</v>
      </c>
      <c r="X74" s="228">
        <f t="shared" ca="1" si="29"/>
        <v>53.805353139908782</v>
      </c>
      <c r="Y74" s="228">
        <f t="shared" ca="1" si="29"/>
        <v>54.807098610901782</v>
      </c>
      <c r="Z74" s="228">
        <f t="shared" ca="1" si="29"/>
        <v>55.81806671803777</v>
      </c>
      <c r="AA74" s="228">
        <f t="shared" ca="1" si="29"/>
        <v>56.838257576962015</v>
      </c>
      <c r="AB74" s="228">
        <f t="shared" ca="1" si="29"/>
        <v>57.867671303319746</v>
      </c>
      <c r="AC74" s="228">
        <f t="shared" ca="1" si="29"/>
        <v>58.81501193804764</v>
      </c>
      <c r="AD74" s="228">
        <f t="shared" ca="1" si="29"/>
        <v>59.769956142186736</v>
      </c>
      <c r="AE74" s="228">
        <f t="shared" ca="1" si="29"/>
        <v>60.73250391573702</v>
      </c>
      <c r="AF74" s="228">
        <f t="shared" ca="1" si="29"/>
        <v>61.702655258698513</v>
      </c>
      <c r="AG74" s="228">
        <f t="shared" ca="1" si="29"/>
        <v>62.680410171071244</v>
      </c>
      <c r="AH74" s="228">
        <f t="shared" ca="1" si="29"/>
        <v>63.612471122270911</v>
      </c>
      <c r="AI74" s="228">
        <f t="shared" ca="1" si="29"/>
        <v>64.551104662285255</v>
      </c>
      <c r="AJ74" s="228">
        <f t="shared" ca="1" si="29"/>
        <v>65.496310791114269</v>
      </c>
      <c r="AK74" s="228">
        <f t="shared" ca="1" si="29"/>
        <v>66.448089508757988</v>
      </c>
      <c r="AL74" s="228">
        <f t="shared" ca="1" si="29"/>
        <v>67.406440815216371</v>
      </c>
      <c r="AM74" s="228">
        <f t="shared" ca="1" si="29"/>
        <v>72.767245986280486</v>
      </c>
      <c r="AN74" s="228">
        <f t="shared" ca="1" si="29"/>
        <v>77.391677255426842</v>
      </c>
      <c r="AO74" s="228">
        <f t="shared" ca="1" si="29"/>
        <v>77.391677255426842</v>
      </c>
      <c r="AP74" s="228">
        <f t="shared" ca="1" si="29"/>
        <v>77.391677255426842</v>
      </c>
    </row>
    <row r="75" spans="1:42" s="227" customFormat="1">
      <c r="A75" s="227" t="s">
        <v>17</v>
      </c>
      <c r="C75" s="227" t="s">
        <v>611</v>
      </c>
      <c r="D75" s="228" t="s">
        <v>522</v>
      </c>
      <c r="E75" s="253">
        <v>0.12</v>
      </c>
      <c r="F75" s="228"/>
      <c r="G75" s="228"/>
      <c r="H75" s="228"/>
      <c r="I75" s="228"/>
      <c r="M75" s="232">
        <v>0</v>
      </c>
      <c r="N75" s="232">
        <f>(($AB$75-$M$75)/($AB$73-$M$73))*(N$73-$M$73)</f>
        <v>8.0000000000000002E-3</v>
      </c>
      <c r="O75" s="232">
        <f t="shared" ref="O75:AA75" si="30">(($AB$75-$M$75)/($AB$73-$M$73))*(O$73-$M$73)</f>
        <v>1.6E-2</v>
      </c>
      <c r="P75" s="232">
        <f t="shared" si="30"/>
        <v>2.4E-2</v>
      </c>
      <c r="Q75" s="232">
        <f t="shared" si="30"/>
        <v>3.2000000000000001E-2</v>
      </c>
      <c r="R75" s="232">
        <f t="shared" si="30"/>
        <v>0.04</v>
      </c>
      <c r="S75" s="232">
        <f t="shared" si="30"/>
        <v>4.8000000000000001E-2</v>
      </c>
      <c r="T75" s="232">
        <f t="shared" si="30"/>
        <v>5.6000000000000001E-2</v>
      </c>
      <c r="U75" s="232">
        <f t="shared" si="30"/>
        <v>6.4000000000000001E-2</v>
      </c>
      <c r="V75" s="232">
        <f t="shared" si="30"/>
        <v>7.2000000000000008E-2</v>
      </c>
      <c r="W75" s="232">
        <f t="shared" si="30"/>
        <v>0.08</v>
      </c>
      <c r="X75" s="232">
        <f t="shared" si="30"/>
        <v>8.7999999999999995E-2</v>
      </c>
      <c r="Y75" s="232">
        <f t="shared" si="30"/>
        <v>9.6000000000000002E-2</v>
      </c>
      <c r="Z75" s="232">
        <f t="shared" si="30"/>
        <v>0.10400000000000001</v>
      </c>
      <c r="AA75" s="232">
        <f t="shared" si="30"/>
        <v>0.112</v>
      </c>
      <c r="AB75" s="30">
        <f>$E$75</f>
        <v>0.12</v>
      </c>
      <c r="AC75" s="232">
        <f>AB75</f>
        <v>0.12</v>
      </c>
      <c r="AD75" s="232">
        <f t="shared" ref="AD75:AP76" si="31">AC75</f>
        <v>0.12</v>
      </c>
      <c r="AE75" s="232">
        <f t="shared" si="31"/>
        <v>0.12</v>
      </c>
      <c r="AF75" s="232">
        <f t="shared" si="31"/>
        <v>0.12</v>
      </c>
      <c r="AG75" s="232">
        <f t="shared" si="31"/>
        <v>0.12</v>
      </c>
      <c r="AH75" s="232">
        <f t="shared" si="31"/>
        <v>0.12</v>
      </c>
      <c r="AI75" s="232">
        <f t="shared" si="31"/>
        <v>0.12</v>
      </c>
      <c r="AJ75" s="232">
        <f t="shared" si="31"/>
        <v>0.12</v>
      </c>
      <c r="AK75" s="232">
        <f t="shared" si="31"/>
        <v>0.12</v>
      </c>
      <c r="AL75" s="232">
        <f t="shared" si="31"/>
        <v>0.12</v>
      </c>
      <c r="AM75" s="232">
        <f t="shared" si="31"/>
        <v>0.12</v>
      </c>
      <c r="AN75" s="232">
        <f t="shared" si="31"/>
        <v>0.12</v>
      </c>
      <c r="AO75" s="232">
        <f t="shared" si="31"/>
        <v>0.12</v>
      </c>
      <c r="AP75" s="232">
        <f t="shared" si="31"/>
        <v>0.12</v>
      </c>
    </row>
    <row r="76" spans="1:42" s="227" customFormat="1">
      <c r="A76" s="227" t="s">
        <v>17</v>
      </c>
      <c r="D76" s="227" t="s">
        <v>523</v>
      </c>
      <c r="E76" s="253">
        <v>0.2</v>
      </c>
      <c r="F76" s="228"/>
      <c r="G76" s="228"/>
      <c r="H76" s="228"/>
      <c r="I76" s="228"/>
      <c r="M76" s="232">
        <v>0</v>
      </c>
      <c r="N76" s="232">
        <f>(($AB$76-$M$76)/($AB$73-$M$73))*(N$73-$M$73)</f>
        <v>1.3333333333333334E-2</v>
      </c>
      <c r="O76" s="232">
        <f t="shared" ref="O76:AA76" si="32">(($AB$76-$M$76)/($AB$73-$M$73))*(O$73-$M$73)</f>
        <v>2.6666666666666668E-2</v>
      </c>
      <c r="P76" s="232">
        <f t="shared" si="32"/>
        <v>0.04</v>
      </c>
      <c r="Q76" s="232">
        <f t="shared" si="32"/>
        <v>5.3333333333333337E-2</v>
      </c>
      <c r="R76" s="232">
        <f t="shared" si="32"/>
        <v>6.6666666666666666E-2</v>
      </c>
      <c r="S76" s="232">
        <f t="shared" si="32"/>
        <v>0.08</v>
      </c>
      <c r="T76" s="232">
        <f t="shared" si="32"/>
        <v>9.3333333333333338E-2</v>
      </c>
      <c r="U76" s="232">
        <f t="shared" si="32"/>
        <v>0.10666666666666667</v>
      </c>
      <c r="V76" s="232">
        <f t="shared" si="32"/>
        <v>0.12000000000000001</v>
      </c>
      <c r="W76" s="232">
        <f t="shared" si="32"/>
        <v>0.13333333333333333</v>
      </c>
      <c r="X76" s="232">
        <f t="shared" si="32"/>
        <v>0.14666666666666667</v>
      </c>
      <c r="Y76" s="232">
        <f t="shared" si="32"/>
        <v>0.16</v>
      </c>
      <c r="Z76" s="232">
        <f t="shared" si="32"/>
        <v>0.17333333333333334</v>
      </c>
      <c r="AA76" s="232">
        <f t="shared" si="32"/>
        <v>0.18666666666666668</v>
      </c>
      <c r="AB76" s="30">
        <f>$E$76</f>
        <v>0.2</v>
      </c>
      <c r="AC76" s="232">
        <f>AB76</f>
        <v>0.2</v>
      </c>
      <c r="AD76" s="232">
        <f t="shared" si="31"/>
        <v>0.2</v>
      </c>
      <c r="AE76" s="232">
        <f t="shared" si="31"/>
        <v>0.2</v>
      </c>
      <c r="AF76" s="232">
        <f t="shared" si="31"/>
        <v>0.2</v>
      </c>
      <c r="AG76" s="232">
        <f t="shared" si="31"/>
        <v>0.2</v>
      </c>
      <c r="AH76" s="232">
        <f t="shared" si="31"/>
        <v>0.2</v>
      </c>
      <c r="AI76" s="232">
        <f t="shared" si="31"/>
        <v>0.2</v>
      </c>
      <c r="AJ76" s="232">
        <f t="shared" si="31"/>
        <v>0.2</v>
      </c>
      <c r="AK76" s="232">
        <f t="shared" si="31"/>
        <v>0.2</v>
      </c>
      <c r="AL76" s="232">
        <f t="shared" si="31"/>
        <v>0.2</v>
      </c>
      <c r="AM76" s="232">
        <f t="shared" si="31"/>
        <v>0.2</v>
      </c>
      <c r="AN76" s="232">
        <f t="shared" si="31"/>
        <v>0.2</v>
      </c>
      <c r="AO76" s="232">
        <f t="shared" si="31"/>
        <v>0.2</v>
      </c>
      <c r="AP76" s="232">
        <f t="shared" si="31"/>
        <v>0.2</v>
      </c>
    </row>
    <row r="77" spans="1:42" s="227" customFormat="1">
      <c r="A77" s="227" t="s">
        <v>17</v>
      </c>
      <c r="C77" s="227" t="s">
        <v>612</v>
      </c>
      <c r="E77" s="228"/>
      <c r="F77" s="228"/>
      <c r="G77" s="228"/>
      <c r="H77" s="228"/>
      <c r="I77" s="228"/>
      <c r="J77" s="228">
        <f>J$74</f>
        <v>39.225327352897736</v>
      </c>
      <c r="K77" s="228">
        <f>K$74</f>
        <v>41.055106333823794</v>
      </c>
      <c r="L77" s="228">
        <f>L$74</f>
        <v>42.884885314749845</v>
      </c>
      <c r="M77" s="228">
        <f>M$74</f>
        <v>44.714664295675895</v>
      </c>
      <c r="N77" s="228">
        <f>(($M$74*(1-N$75))+((N74-$M$74)*(1-N$76)))</f>
        <v>46.162328909157523</v>
      </c>
      <c r="O77" s="228">
        <f t="shared" ref="O77:AP77" si="33">(($M$74*(1-O$75))+((O74-$M$74)*(1-O$76)))</f>
        <v>47.561199416481131</v>
      </c>
      <c r="P77" s="228">
        <f t="shared" ca="1" si="33"/>
        <v>46.278591313597076</v>
      </c>
      <c r="Q77" s="228">
        <f t="shared" ca="1" si="33"/>
        <v>46.707170797614545</v>
      </c>
      <c r="R77" s="228">
        <f t="shared" ca="1" si="33"/>
        <v>47.11992217795148</v>
      </c>
      <c r="S77" s="228">
        <f t="shared" ca="1" si="33"/>
        <v>47.357084230934824</v>
      </c>
      <c r="T77" s="228">
        <f t="shared" ca="1" si="33"/>
        <v>47.579447547588465</v>
      </c>
      <c r="U77" s="228">
        <f t="shared" ca="1" si="33"/>
        <v>47.78682778220869</v>
      </c>
      <c r="V77" s="228">
        <f t="shared" ca="1" si="33"/>
        <v>47.979040583237214</v>
      </c>
      <c r="W77" s="228">
        <f t="shared" ca="1" si="33"/>
        <v>48.155901593261063</v>
      </c>
      <c r="X77" s="228">
        <f t="shared" ca="1" si="33"/>
        <v>48.537161651401817</v>
      </c>
      <c r="Y77" s="228">
        <f t="shared" ca="1" si="33"/>
        <v>48.899701348080754</v>
      </c>
      <c r="Z77" s="228">
        <f t="shared" ca="1" si="33"/>
        <v>49.243151878078088</v>
      </c>
      <c r="AA77" s="228">
        <f t="shared" ca="1" si="33"/>
        <v>49.567144430006238</v>
      </c>
      <c r="AB77" s="228">
        <f t="shared" ca="1" si="33"/>
        <v>49.87131018630987</v>
      </c>
      <c r="AC77" s="228">
        <f t="shared" ca="1" si="33"/>
        <v>50.629182694092187</v>
      </c>
      <c r="AD77" s="228">
        <f t="shared" ca="1" si="33"/>
        <v>51.393138057403462</v>
      </c>
      <c r="AE77" s="228">
        <f t="shared" ca="1" si="33"/>
        <v>52.163176276243689</v>
      </c>
      <c r="AF77" s="228">
        <f t="shared" ca="1" si="33"/>
        <v>52.93929735061289</v>
      </c>
      <c r="AG77" s="228">
        <f t="shared" ca="1" si="33"/>
        <v>53.72150128051107</v>
      </c>
      <c r="AH77" s="228">
        <f t="shared" ca="1" si="33"/>
        <v>54.467150041470802</v>
      </c>
      <c r="AI77" s="228">
        <f t="shared" ca="1" si="33"/>
        <v>55.218056873482283</v>
      </c>
      <c r="AJ77" s="228">
        <f t="shared" ca="1" si="33"/>
        <v>55.974221776545491</v>
      </c>
      <c r="AK77" s="228">
        <f t="shared" ca="1" si="33"/>
        <v>56.73564475066047</v>
      </c>
      <c r="AL77" s="228">
        <f t="shared" ca="1" si="33"/>
        <v>57.502325795827176</v>
      </c>
      <c r="AM77" s="228">
        <f t="shared" ca="1" si="33"/>
        <v>61.790969932678465</v>
      </c>
      <c r="AN77" s="228">
        <f t="shared" ca="1" si="33"/>
        <v>65.49051494799555</v>
      </c>
      <c r="AO77" s="228">
        <f t="shared" ca="1" si="33"/>
        <v>65.49051494799555</v>
      </c>
      <c r="AP77" s="228">
        <f t="shared" ca="1" si="33"/>
        <v>65.49051494799555</v>
      </c>
    </row>
    <row r="78" spans="1:42" s="227" customFormat="1">
      <c r="A78" s="227" t="s">
        <v>17</v>
      </c>
      <c r="D78" s="227" t="s">
        <v>613</v>
      </c>
      <c r="E78" s="254">
        <f>MCDrivers!K181</f>
        <v>-1</v>
      </c>
      <c r="F78" s="227" t="s">
        <v>614</v>
      </c>
      <c r="J78" s="41"/>
    </row>
    <row r="79" spans="1:42" s="227" customFormat="1">
      <c r="A79" s="227" t="s">
        <v>17</v>
      </c>
      <c r="B79" s="25"/>
      <c r="D79" s="228"/>
      <c r="F79" s="227" t="s">
        <v>615</v>
      </c>
      <c r="J79" s="41"/>
    </row>
    <row r="80" spans="1:42" s="227" customFormat="1">
      <c r="A80" s="227" t="s">
        <v>17</v>
      </c>
      <c r="B80" s="25"/>
      <c r="D80" s="228"/>
      <c r="J80" s="255">
        <f>J73</f>
        <v>2012</v>
      </c>
      <c r="K80" s="256">
        <f t="shared" ref="K80:AP80" si="34">K73</f>
        <v>2013</v>
      </c>
      <c r="L80" s="256">
        <f t="shared" si="34"/>
        <v>2014</v>
      </c>
      <c r="M80" s="256">
        <f t="shared" si="34"/>
        <v>2015</v>
      </c>
      <c r="N80" s="256">
        <f t="shared" si="34"/>
        <v>2016</v>
      </c>
      <c r="O80" s="256">
        <f t="shared" si="34"/>
        <v>2017</v>
      </c>
      <c r="P80" s="256">
        <f t="shared" si="34"/>
        <v>2018</v>
      </c>
      <c r="Q80" s="256">
        <f t="shared" si="34"/>
        <v>2019</v>
      </c>
      <c r="R80" s="256">
        <f t="shared" si="34"/>
        <v>2020</v>
      </c>
      <c r="S80" s="256">
        <f t="shared" si="34"/>
        <v>2021</v>
      </c>
      <c r="T80" s="256">
        <f t="shared" si="34"/>
        <v>2022</v>
      </c>
      <c r="U80" s="256">
        <f t="shared" si="34"/>
        <v>2023</v>
      </c>
      <c r="V80" s="256">
        <f t="shared" si="34"/>
        <v>2024</v>
      </c>
      <c r="W80" s="256">
        <f t="shared" si="34"/>
        <v>2025</v>
      </c>
      <c r="X80" s="256">
        <f t="shared" si="34"/>
        <v>2026</v>
      </c>
      <c r="Y80" s="256">
        <f t="shared" si="34"/>
        <v>2027</v>
      </c>
      <c r="Z80" s="256">
        <f t="shared" si="34"/>
        <v>2028</v>
      </c>
      <c r="AA80" s="256">
        <f t="shared" si="34"/>
        <v>2029</v>
      </c>
      <c r="AB80" s="256">
        <f t="shared" si="34"/>
        <v>2030</v>
      </c>
      <c r="AC80" s="256">
        <f t="shared" si="34"/>
        <v>2031</v>
      </c>
      <c r="AD80" s="256">
        <f t="shared" si="34"/>
        <v>2032</v>
      </c>
      <c r="AE80" s="256">
        <f t="shared" si="34"/>
        <v>2033</v>
      </c>
      <c r="AF80" s="256">
        <f t="shared" si="34"/>
        <v>2034</v>
      </c>
      <c r="AG80" s="256">
        <f t="shared" si="34"/>
        <v>2035</v>
      </c>
      <c r="AH80" s="256">
        <f t="shared" si="34"/>
        <v>2036</v>
      </c>
      <c r="AI80" s="256">
        <f t="shared" si="34"/>
        <v>2037</v>
      </c>
      <c r="AJ80" s="256">
        <f t="shared" si="34"/>
        <v>2038</v>
      </c>
      <c r="AK80" s="256">
        <f t="shared" si="34"/>
        <v>2039</v>
      </c>
      <c r="AL80" s="256">
        <f t="shared" si="34"/>
        <v>2040</v>
      </c>
      <c r="AM80" s="256">
        <f t="shared" si="34"/>
        <v>2045</v>
      </c>
      <c r="AN80" s="256">
        <f t="shared" si="34"/>
        <v>2050</v>
      </c>
      <c r="AO80" s="256">
        <f t="shared" si="34"/>
        <v>2060</v>
      </c>
      <c r="AP80" s="256">
        <f t="shared" si="34"/>
        <v>2070</v>
      </c>
    </row>
    <row r="81" spans="1:54" s="227" customFormat="1">
      <c r="A81" s="227" t="s">
        <v>17</v>
      </c>
      <c r="B81" s="25"/>
      <c r="C81" s="227" t="s">
        <v>616</v>
      </c>
      <c r="D81" s="228" t="str">
        <f>D98</f>
        <v>RLEK</v>
      </c>
      <c r="J81" s="43">
        <f>J98</f>
        <v>10.053924891431189</v>
      </c>
      <c r="K81" s="13">
        <f>K98</f>
        <v>10.118379478945931</v>
      </c>
      <c r="L81" s="13">
        <f>L98</f>
        <v>10.182834066460671</v>
      </c>
      <c r="M81" s="13">
        <f>M98</f>
        <v>10.247288653975414</v>
      </c>
      <c r="N81" s="24">
        <f t="shared" ref="N81:AP84" ca="1" si="35">OFFSET(N$33,$BB81,$J$93)/OFFSET(M$33,$BB81,$J$93)*M81</f>
        <v>10.374902929233404</v>
      </c>
      <c r="O81" s="24">
        <f t="shared" ca="1" si="35"/>
        <v>10.499149321400505</v>
      </c>
      <c r="P81" s="24">
        <f t="shared" ca="1" si="35"/>
        <v>10.619915438141591</v>
      </c>
      <c r="Q81" s="24">
        <f t="shared" ca="1" si="35"/>
        <v>10.737088887121537</v>
      </c>
      <c r="R81" s="24">
        <f t="shared" ca="1" si="35"/>
        <v>10.850557276005221</v>
      </c>
      <c r="S81" s="24">
        <f t="shared" ca="1" si="35"/>
        <v>10.90585999345797</v>
      </c>
      <c r="T81" s="24">
        <f t="shared" ca="1" si="35"/>
        <v>10.958815768193798</v>
      </c>
      <c r="U81" s="24">
        <f t="shared" ca="1" si="35"/>
        <v>11.00938401690855</v>
      </c>
      <c r="V81" s="24">
        <f t="shared" ca="1" si="35"/>
        <v>11.057524156298058</v>
      </c>
      <c r="W81" s="24">
        <f t="shared" ca="1" si="35"/>
        <v>11.103195603058168</v>
      </c>
      <c r="X81" s="24">
        <f t="shared" ca="1" si="35"/>
        <v>11.105169799729886</v>
      </c>
      <c r="Y81" s="24">
        <f t="shared" ca="1" si="35"/>
        <v>11.102942151286536</v>
      </c>
      <c r="Z81" s="24">
        <f t="shared" ca="1" si="35"/>
        <v>11.09645131253369</v>
      </c>
      <c r="AA81" s="24">
        <f t="shared" ca="1" si="35"/>
        <v>11.085635938276921</v>
      </c>
      <c r="AB81" s="24">
        <f t="shared" ca="1" si="35"/>
        <v>11.0704346833218</v>
      </c>
      <c r="AC81" s="24">
        <f t="shared" ca="1" si="35"/>
        <v>11.06304031279921</v>
      </c>
      <c r="AD81" s="24">
        <f t="shared" ca="1" si="35"/>
        <v>11.051683183602838</v>
      </c>
      <c r="AE81" s="24">
        <f t="shared" ca="1" si="35"/>
        <v>11.036308970703708</v>
      </c>
      <c r="AF81" s="24">
        <f t="shared" ca="1" si="35"/>
        <v>11.016863349072834</v>
      </c>
      <c r="AG81" s="24">
        <f t="shared" ca="1" si="35"/>
        <v>10.993291993681241</v>
      </c>
      <c r="AH81" s="24">
        <f t="shared" ca="1" si="35"/>
        <v>10.985183900980447</v>
      </c>
      <c r="AI81" s="24">
        <f t="shared" ca="1" si="35"/>
        <v>10.97322410710769</v>
      </c>
      <c r="AJ81" s="24">
        <f t="shared" ca="1" si="35"/>
        <v>10.957360989798133</v>
      </c>
      <c r="AK81" s="24">
        <f t="shared" ca="1" si="35"/>
        <v>10.937542926786939</v>
      </c>
      <c r="AL81" s="24">
        <f t="shared" ca="1" si="35"/>
        <v>10.913718295809264</v>
      </c>
      <c r="AM81" s="24">
        <f t="shared" ca="1" si="35"/>
        <v>10.931716981558086</v>
      </c>
      <c r="AN81" s="24">
        <f t="shared" ca="1" si="35"/>
        <v>11.027326457050394</v>
      </c>
      <c r="AO81" s="24">
        <f t="shared" ca="1" si="35"/>
        <v>11.027326457050394</v>
      </c>
      <c r="AP81" s="24">
        <f t="shared" ca="1" si="35"/>
        <v>11.027326457050394</v>
      </c>
      <c r="BB81" s="227">
        <v>1</v>
      </c>
    </row>
    <row r="82" spans="1:54" s="227" customFormat="1">
      <c r="A82" s="227" t="s">
        <v>17</v>
      </c>
      <c r="B82" s="25"/>
      <c r="D82" s="228" t="str">
        <f>D108</f>
        <v>RMNL</v>
      </c>
      <c r="J82" s="43">
        <f>J108</f>
        <v>3.3422499241462768E-2</v>
      </c>
      <c r="K82" s="13">
        <f>K108</f>
        <v>4.1310307072706193E-2</v>
      </c>
      <c r="L82" s="13">
        <f>L108</f>
        <v>4.9198114903949625E-2</v>
      </c>
      <c r="M82" s="13">
        <f>M108</f>
        <v>5.7085922735193056E-2</v>
      </c>
      <c r="N82" s="24">
        <f t="shared" ca="1" si="35"/>
        <v>5.8490596768915909E-2</v>
      </c>
      <c r="O82" s="24">
        <f t="shared" ca="1" si="35"/>
        <v>5.9916903711312343E-2</v>
      </c>
      <c r="P82" s="24">
        <f t="shared" ca="1" si="35"/>
        <v>6.1364994279431657E-2</v>
      </c>
      <c r="Q82" s="24">
        <f t="shared" ca="1" si="35"/>
        <v>6.2835019190323138E-2</v>
      </c>
      <c r="R82" s="24">
        <f t="shared" ca="1" si="35"/>
        <v>6.4327129161036001E-2</v>
      </c>
      <c r="S82" s="24">
        <f t="shared" ca="1" si="35"/>
        <v>6.5650271075835792E-2</v>
      </c>
      <c r="T82" s="24">
        <f t="shared" ca="1" si="35"/>
        <v>6.699074415307911E-2</v>
      </c>
      <c r="U82" s="24">
        <f t="shared" ca="1" si="35"/>
        <v>6.8348658167744922E-2</v>
      </c>
      <c r="V82" s="24">
        <f t="shared" ca="1" si="35"/>
        <v>6.9724122894812182E-2</v>
      </c>
      <c r="W82" s="24">
        <f t="shared" ca="1" si="35"/>
        <v>7.1117248109259845E-2</v>
      </c>
      <c r="X82" s="24">
        <f t="shared" ca="1" si="35"/>
        <v>7.2571895066093434E-2</v>
      </c>
      <c r="Y82" s="24">
        <f t="shared" ca="1" si="35"/>
        <v>7.404525842151008E-2</v>
      </c>
      <c r="Z82" s="24">
        <f t="shared" ca="1" si="35"/>
        <v>7.5537453820786388E-2</v>
      </c>
      <c r="AA82" s="24">
        <f t="shared" ca="1" si="35"/>
        <v>7.704859690919906E-2</v>
      </c>
      <c r="AB82" s="24">
        <f t="shared" ca="1" si="35"/>
        <v>7.8578803332024688E-2</v>
      </c>
      <c r="AC82" s="24">
        <f t="shared" ca="1" si="35"/>
        <v>7.9694322208103588E-2</v>
      </c>
      <c r="AD82" s="24">
        <f t="shared" ca="1" si="35"/>
        <v>8.0817108236947224E-2</v>
      </c>
      <c r="AE82" s="24">
        <f t="shared" ca="1" si="35"/>
        <v>8.1947161418555556E-2</v>
      </c>
      <c r="AF82" s="24">
        <f t="shared" ca="1" si="35"/>
        <v>8.3084481752928596E-2</v>
      </c>
      <c r="AG82" s="24">
        <f t="shared" ca="1" si="35"/>
        <v>8.4229069240066332E-2</v>
      </c>
      <c r="AH82" s="24">
        <f t="shared" ca="1" si="35"/>
        <v>8.5425062061937534E-2</v>
      </c>
      <c r="AI82" s="24">
        <f t="shared" ca="1" si="35"/>
        <v>8.6628881633953672E-2</v>
      </c>
      <c r="AJ82" s="24">
        <f t="shared" ca="1" si="35"/>
        <v>8.7840527956114758E-2</v>
      </c>
      <c r="AK82" s="24">
        <f t="shared" ca="1" si="35"/>
        <v>8.9060001028420779E-2</v>
      </c>
      <c r="AL82" s="24">
        <f t="shared" ca="1" si="35"/>
        <v>9.0287300850871707E-2</v>
      </c>
      <c r="AM82" s="24">
        <f t="shared" ca="1" si="35"/>
        <v>9.8839631200604877E-2</v>
      </c>
      <c r="AN82" s="24">
        <f t="shared" ca="1" si="35"/>
        <v>0.10784328300639415</v>
      </c>
      <c r="AO82" s="24">
        <f t="shared" ca="1" si="35"/>
        <v>0.10784328300639415</v>
      </c>
      <c r="AP82" s="24">
        <f t="shared" ca="1" si="35"/>
        <v>0.10784328300639415</v>
      </c>
      <c r="BB82" s="227">
        <v>2</v>
      </c>
    </row>
    <row r="83" spans="1:54" s="227" customFormat="1">
      <c r="A83" s="227" t="s">
        <v>17</v>
      </c>
      <c r="B83" s="25"/>
      <c r="D83" s="228" t="str">
        <f>D118</f>
        <v>RHEL</v>
      </c>
      <c r="J83" s="43">
        <f>J118</f>
        <v>29.137979962225089</v>
      </c>
      <c r="K83" s="13">
        <f>K118</f>
        <v>30.895416547805155</v>
      </c>
      <c r="L83" s="13">
        <f>L118</f>
        <v>32.652853133385221</v>
      </c>
      <c r="M83" s="13">
        <f>M118</f>
        <v>34.410289718965288</v>
      </c>
      <c r="N83" s="24">
        <f ca="1">OFFSET(N$33,$BB83,$J$93)/OFFSET(M$33,$BB83,$J$93)*M83</f>
        <v>35.282005939490993</v>
      </c>
      <c r="O83" s="24">
        <f t="shared" ca="1" si="35"/>
        <v>36.164099939575337</v>
      </c>
      <c r="P83" s="24">
        <f t="shared" ca="1" si="35"/>
        <v>37.056571719218319</v>
      </c>
      <c r="Q83" s="24">
        <f t="shared" ca="1" si="35"/>
        <v>37.959421278419939</v>
      </c>
      <c r="R83" s="24">
        <f t="shared" ca="1" si="35"/>
        <v>38.872648617180189</v>
      </c>
      <c r="S83" s="24">
        <f t="shared" ca="1" si="35"/>
        <v>39.59482672625483</v>
      </c>
      <c r="T83" s="24">
        <f t="shared" ca="1" si="35"/>
        <v>40.323647451222151</v>
      </c>
      <c r="U83" s="24">
        <f t="shared" ca="1" si="35"/>
        <v>41.059110792082123</v>
      </c>
      <c r="V83" s="24">
        <f t="shared" ca="1" si="35"/>
        <v>41.801216748834776</v>
      </c>
      <c r="W83" s="24">
        <f t="shared" ca="1" si="35"/>
        <v>42.549965321480144</v>
      </c>
      <c r="X83" s="24">
        <f t="shared" ca="1" si="35"/>
        <v>43.600628474267417</v>
      </c>
      <c r="Y83" s="24">
        <f t="shared" ca="1" si="35"/>
        <v>44.663592450416658</v>
      </c>
      <c r="Z83" s="24">
        <f t="shared" ca="1" si="35"/>
        <v>45.738857249927868</v>
      </c>
      <c r="AA83" s="24">
        <f t="shared" ca="1" si="35"/>
        <v>46.826422872801039</v>
      </c>
      <c r="AB83" s="24">
        <f t="shared" ca="1" si="35"/>
        <v>47.92628931903613</v>
      </c>
      <c r="AC83" s="24">
        <f t="shared" ca="1" si="35"/>
        <v>48.936740868477926</v>
      </c>
      <c r="AD83" s="24">
        <f t="shared" ca="1" si="35"/>
        <v>49.957531325573363</v>
      </c>
      <c r="AE83" s="24">
        <f t="shared" ca="1" si="35"/>
        <v>50.988660690322426</v>
      </c>
      <c r="AF83" s="24">
        <f t="shared" ca="1" si="35"/>
        <v>52.030128962725136</v>
      </c>
      <c r="AG83" s="24">
        <f t="shared" ca="1" si="35"/>
        <v>53.081936142781508</v>
      </c>
      <c r="AH83" s="24">
        <f t="shared" ca="1" si="35"/>
        <v>54.073836663449491</v>
      </c>
      <c r="AI83" s="24">
        <f t="shared" ca="1" si="35"/>
        <v>55.074908102215645</v>
      </c>
      <c r="AJ83" s="24">
        <f t="shared" ca="1" si="35"/>
        <v>56.085150459079983</v>
      </c>
      <c r="AK83" s="24">
        <f t="shared" ca="1" si="35"/>
        <v>57.104563734042515</v>
      </c>
      <c r="AL83" s="24">
        <f t="shared" ca="1" si="35"/>
        <v>58.133147927103209</v>
      </c>
      <c r="AM83" s="24">
        <f t="shared" ca="1" si="35"/>
        <v>63.7188549879113</v>
      </c>
      <c r="AN83" s="24">
        <f t="shared" ca="1" si="35"/>
        <v>68.493583607486926</v>
      </c>
      <c r="AO83" s="24">
        <f t="shared" ca="1" si="35"/>
        <v>68.493583607486926</v>
      </c>
      <c r="AP83" s="24">
        <f t="shared" ca="1" si="35"/>
        <v>68.493583607486926</v>
      </c>
      <c r="BB83" s="227">
        <v>3</v>
      </c>
    </row>
    <row r="84" spans="1:54" s="227" customFormat="1">
      <c r="A84" s="227" t="s">
        <v>17</v>
      </c>
      <c r="B84" s="25"/>
      <c r="D84" s="228">
        <f>D127</f>
        <v>0</v>
      </c>
      <c r="J84" s="43">
        <f>J127</f>
        <v>0</v>
      </c>
      <c r="K84" s="13">
        <f>K127</f>
        <v>0</v>
      </c>
      <c r="L84" s="13">
        <f>L127</f>
        <v>0</v>
      </c>
      <c r="M84" s="13">
        <f>M127</f>
        <v>0</v>
      </c>
      <c r="N84" s="24">
        <f ca="1">OFFSET(N$33,$BB84,$J$93)/OFFSET(M$33,$BB84,$J$93)*M84</f>
        <v>0</v>
      </c>
      <c r="O84" s="24">
        <f t="shared" ca="1" si="35"/>
        <v>0</v>
      </c>
      <c r="P84" s="24">
        <f t="shared" ca="1" si="35"/>
        <v>0</v>
      </c>
      <c r="Q84" s="24">
        <f t="shared" ca="1" si="35"/>
        <v>0</v>
      </c>
      <c r="R84" s="24">
        <f t="shared" ca="1" si="35"/>
        <v>0</v>
      </c>
      <c r="S84" s="24">
        <f t="shared" ca="1" si="35"/>
        <v>0</v>
      </c>
      <c r="T84" s="24">
        <f t="shared" ca="1" si="35"/>
        <v>0</v>
      </c>
      <c r="U84" s="24">
        <f t="shared" ca="1" si="35"/>
        <v>0</v>
      </c>
      <c r="V84" s="24">
        <f t="shared" ca="1" si="35"/>
        <v>0</v>
      </c>
      <c r="W84" s="24">
        <f t="shared" ca="1" si="35"/>
        <v>0</v>
      </c>
      <c r="X84" s="24">
        <f t="shared" ca="1" si="35"/>
        <v>0</v>
      </c>
      <c r="Y84" s="24">
        <f t="shared" ca="1" si="35"/>
        <v>0</v>
      </c>
      <c r="Z84" s="24">
        <f t="shared" ca="1" si="35"/>
        <v>0</v>
      </c>
      <c r="AA84" s="24">
        <f t="shared" ca="1" si="35"/>
        <v>0</v>
      </c>
      <c r="AB84" s="24">
        <f t="shared" ca="1" si="35"/>
        <v>0</v>
      </c>
      <c r="AC84" s="24">
        <f t="shared" ca="1" si="35"/>
        <v>0</v>
      </c>
      <c r="AD84" s="24">
        <f t="shared" ca="1" si="35"/>
        <v>0</v>
      </c>
      <c r="AE84" s="24">
        <f t="shared" ca="1" si="35"/>
        <v>0</v>
      </c>
      <c r="AF84" s="24">
        <f t="shared" ca="1" si="35"/>
        <v>0</v>
      </c>
      <c r="AG84" s="24">
        <f t="shared" ca="1" si="35"/>
        <v>0</v>
      </c>
      <c r="AH84" s="24">
        <f t="shared" ca="1" si="35"/>
        <v>0</v>
      </c>
      <c r="AI84" s="24">
        <f t="shared" ca="1" si="35"/>
        <v>0</v>
      </c>
      <c r="AJ84" s="24">
        <f t="shared" ca="1" si="35"/>
        <v>0</v>
      </c>
      <c r="AK84" s="24">
        <f t="shared" ca="1" si="35"/>
        <v>0</v>
      </c>
      <c r="AL84" s="24">
        <f t="shared" ca="1" si="35"/>
        <v>0</v>
      </c>
      <c r="AM84" s="24">
        <f t="shared" ca="1" si="35"/>
        <v>0</v>
      </c>
      <c r="AN84" s="24">
        <f t="shared" ca="1" si="35"/>
        <v>0</v>
      </c>
      <c r="AO84" s="24">
        <f t="shared" ca="1" si="35"/>
        <v>0</v>
      </c>
      <c r="AP84" s="24">
        <f t="shared" ca="1" si="35"/>
        <v>0</v>
      </c>
      <c r="BB84" s="227">
        <v>4</v>
      </c>
    </row>
    <row r="85" spans="1:54" s="227" customFormat="1">
      <c r="A85" s="227" t="s">
        <v>17</v>
      </c>
      <c r="B85" s="25"/>
      <c r="D85" s="228">
        <f>D134</f>
        <v>0</v>
      </c>
      <c r="J85" s="43">
        <f>J134</f>
        <v>0</v>
      </c>
      <c r="K85" s="13">
        <f>K134</f>
        <v>0</v>
      </c>
      <c r="L85" s="13">
        <f>L134</f>
        <v>0</v>
      </c>
      <c r="M85" s="13">
        <f>M134</f>
        <v>0</v>
      </c>
      <c r="N85" s="24">
        <f ca="1">OFFSET(N$33,$BB85,$J$93)/(OFFSET(M$33,$BB85,$J$93)+0.000001)*M85</f>
        <v>0</v>
      </c>
      <c r="O85" s="24">
        <f t="shared" ref="O85:AM85" ca="1" si="36">OFFSET(O$33,$BB85,$J$93)/(OFFSET(N$33,$BB85,$J$93)+0.000001)*N85</f>
        <v>0</v>
      </c>
      <c r="P85" s="24">
        <f t="shared" ca="1" si="36"/>
        <v>0</v>
      </c>
      <c r="Q85" s="24">
        <f t="shared" ca="1" si="36"/>
        <v>0</v>
      </c>
      <c r="R85" s="24">
        <f t="shared" ca="1" si="36"/>
        <v>0</v>
      </c>
      <c r="S85" s="24">
        <f t="shared" ca="1" si="36"/>
        <v>0</v>
      </c>
      <c r="T85" s="24">
        <f t="shared" ca="1" si="36"/>
        <v>0</v>
      </c>
      <c r="U85" s="24">
        <f t="shared" ca="1" si="36"/>
        <v>0</v>
      </c>
      <c r="V85" s="24">
        <f t="shared" ca="1" si="36"/>
        <v>0</v>
      </c>
      <c r="W85" s="24">
        <f t="shared" ca="1" si="36"/>
        <v>0</v>
      </c>
      <c r="X85" s="24">
        <f t="shared" ca="1" si="36"/>
        <v>0</v>
      </c>
      <c r="Y85" s="24">
        <f t="shared" ca="1" si="36"/>
        <v>0</v>
      </c>
      <c r="Z85" s="24">
        <f t="shared" ca="1" si="36"/>
        <v>0</v>
      </c>
      <c r="AA85" s="24">
        <f t="shared" ca="1" si="36"/>
        <v>0</v>
      </c>
      <c r="AB85" s="24">
        <f t="shared" ca="1" si="36"/>
        <v>0</v>
      </c>
      <c r="AC85" s="24">
        <f t="shared" ca="1" si="36"/>
        <v>0</v>
      </c>
      <c r="AD85" s="24">
        <f t="shared" ca="1" si="36"/>
        <v>0</v>
      </c>
      <c r="AE85" s="24">
        <f t="shared" ca="1" si="36"/>
        <v>0</v>
      </c>
      <c r="AF85" s="24">
        <f t="shared" ca="1" si="36"/>
        <v>0</v>
      </c>
      <c r="AG85" s="24">
        <f t="shared" ca="1" si="36"/>
        <v>0</v>
      </c>
      <c r="AH85" s="24">
        <f t="shared" ca="1" si="36"/>
        <v>0</v>
      </c>
      <c r="AI85" s="24">
        <f t="shared" ca="1" si="36"/>
        <v>0</v>
      </c>
      <c r="AJ85" s="24">
        <f t="shared" ca="1" si="36"/>
        <v>0</v>
      </c>
      <c r="AK85" s="24">
        <f t="shared" ca="1" si="36"/>
        <v>0</v>
      </c>
      <c r="AL85" s="24">
        <f t="shared" ca="1" si="36"/>
        <v>0</v>
      </c>
      <c r="AM85" s="24">
        <f t="shared" ca="1" si="36"/>
        <v>0</v>
      </c>
      <c r="AN85" s="24">
        <f ca="1">OFFSET(AN$33,$BB85,$J$93)/(OFFSET(AM$33,$BB85,$J$93)+0.000001)*AM85</f>
        <v>0</v>
      </c>
      <c r="AO85" s="24">
        <f ca="1">OFFSET(AO$33,$BB85,$J$93)/(OFFSET(AN$33,$BB85,$J$93)+0.000001)*AN85</f>
        <v>0</v>
      </c>
      <c r="AP85" s="24">
        <f ca="1">OFFSET(AP$33,$BB85,$J$93)/(OFFSET(AO$33,$BB85,$J$93)+0.000001)*AO85</f>
        <v>0</v>
      </c>
      <c r="BB85" s="227">
        <v>5</v>
      </c>
    </row>
    <row r="86" spans="1:54" s="227" customFormat="1">
      <c r="A86" s="227" t="s">
        <v>17</v>
      </c>
      <c r="B86" s="25"/>
    </row>
    <row r="87" spans="1:54" s="227" customFormat="1">
      <c r="A87" s="227" t="s">
        <v>17</v>
      </c>
      <c r="B87" s="25"/>
      <c r="C87" s="227" t="s">
        <v>617</v>
      </c>
      <c r="D87" s="228" t="str">
        <f>D81</f>
        <v>RLEK</v>
      </c>
      <c r="J87" s="43">
        <f>J81</f>
        <v>10.053924891431189</v>
      </c>
      <c r="K87" s="13">
        <f>K81</f>
        <v>10.118379478945931</v>
      </c>
      <c r="L87" s="13">
        <f>L81</f>
        <v>10.182834066460671</v>
      </c>
      <c r="M87" s="13">
        <f>M81</f>
        <v>10.247288653975414</v>
      </c>
      <c r="N87" s="228">
        <f ca="1">(($M$81*(1-N$75))+((N81-$M$81)*(1-N$76)))</f>
        <v>10.291223096331493</v>
      </c>
      <c r="O87" s="228">
        <f t="shared" ref="O87:AP87" ca="1" si="37">(($M$81*(1-O$75))+((O81-$M$81)*(1-O$76)))</f>
        <v>10.32847641847223</v>
      </c>
      <c r="P87" s="228">
        <f t="shared" ca="1" si="37"/>
        <v>10.359075439079534</v>
      </c>
      <c r="Q87" s="228">
        <f t="shared" ca="1" si="37"/>
        <v>10.383052971093198</v>
      </c>
      <c r="R87" s="228">
        <f t="shared" ca="1" si="37"/>
        <v>10.400447821710884</v>
      </c>
      <c r="S87" s="228">
        <f t="shared" ca="1" si="37"/>
        <v>10.361304430908545</v>
      </c>
      <c r="T87" s="228">
        <f t="shared" ca="1" si="37"/>
        <v>10.318558406244126</v>
      </c>
      <c r="U87" s="228">
        <f t="shared" ca="1" si="37"/>
        <v>10.272267371007922</v>
      </c>
      <c r="V87" s="228">
        <f t="shared" ca="1" si="37"/>
        <v>10.22249111293311</v>
      </c>
      <c r="W87" s="228">
        <f t="shared" ca="1" si="37"/>
        <v>10.169291584195769</v>
      </c>
      <c r="X87" s="228">
        <f t="shared" ca="1" si="37"/>
        <v>10.07758583013606</v>
      </c>
      <c r="Y87" s="228">
        <f t="shared" ca="1" si="37"/>
        <v>9.9822978809351159</v>
      </c>
      <c r="Z87" s="228">
        <f t="shared" ca="1" si="37"/>
        <v>9.8835450983701456</v>
      </c>
      <c r="AA87" s="228">
        <f t="shared" ca="1" si="37"/>
        <v>9.7814481159620605</v>
      </c>
      <c r="AB87" s="228">
        <f t="shared" ca="1" si="37"/>
        <v>9.6761308389754728</v>
      </c>
      <c r="AC87" s="228">
        <f t="shared" ca="1" si="37"/>
        <v>9.6702153425574</v>
      </c>
      <c r="AD87" s="228">
        <f t="shared" ca="1" si="37"/>
        <v>9.6611296392003041</v>
      </c>
      <c r="AE87" s="228">
        <f t="shared" ca="1" si="37"/>
        <v>9.6488302688809995</v>
      </c>
      <c r="AF87" s="228">
        <f t="shared" ca="1" si="37"/>
        <v>9.6332737715762988</v>
      </c>
      <c r="AG87" s="228">
        <f t="shared" ca="1" si="37"/>
        <v>9.6144166872630255</v>
      </c>
      <c r="AH87" s="228">
        <f t="shared" ca="1" si="37"/>
        <v>9.6079302131023905</v>
      </c>
      <c r="AI87" s="228">
        <f t="shared" ca="1" si="37"/>
        <v>9.5983623780041842</v>
      </c>
      <c r="AJ87" s="228">
        <f t="shared" ca="1" si="37"/>
        <v>9.5856718841565396</v>
      </c>
      <c r="AK87" s="228">
        <f t="shared" ca="1" si="37"/>
        <v>9.5698174337475841</v>
      </c>
      <c r="AL87" s="228">
        <f t="shared" ca="1" si="37"/>
        <v>9.5507577289654435</v>
      </c>
      <c r="AM87" s="228">
        <f t="shared" ca="1" si="37"/>
        <v>9.5651566775645023</v>
      </c>
      <c r="AN87" s="228">
        <f t="shared" ca="1" si="37"/>
        <v>9.6416442579583475</v>
      </c>
      <c r="AO87" s="228">
        <f t="shared" ca="1" si="37"/>
        <v>9.6416442579583475</v>
      </c>
      <c r="AP87" s="228">
        <f t="shared" ca="1" si="37"/>
        <v>9.6416442579583475</v>
      </c>
    </row>
    <row r="88" spans="1:54" s="227" customFormat="1">
      <c r="A88" s="227" t="s">
        <v>17</v>
      </c>
      <c r="B88" s="25"/>
      <c r="D88" s="228" t="str">
        <f>D82</f>
        <v>RMNL</v>
      </c>
      <c r="J88" s="43">
        <f t="shared" ref="J88:M91" si="38">J82</f>
        <v>3.3422499241462768E-2</v>
      </c>
      <c r="K88" s="13">
        <f t="shared" si="38"/>
        <v>4.1310307072706193E-2</v>
      </c>
      <c r="L88" s="13">
        <f t="shared" si="38"/>
        <v>4.9198114903949625E-2</v>
      </c>
      <c r="M88" s="13">
        <f t="shared" si="38"/>
        <v>5.7085922735193056E-2</v>
      </c>
      <c r="N88" s="228">
        <f ca="1">(($M$82*(1-N$75))+((N82-$M$82)*(1-N$76)))</f>
        <v>5.8015180399918057E-2</v>
      </c>
      <c r="O88" s="228">
        <f t="shared" ref="O88:AP88" ca="1" si="39">(($M$82*(1-O$75))+((O82-$M$82)*(1-O$76)))</f>
        <v>5.8928036121519409E-2</v>
      </c>
      <c r="P88" s="228">
        <f t="shared" ca="1" si="39"/>
        <v>5.9823769272017477E-2</v>
      </c>
      <c r="Q88" s="228">
        <f t="shared" ca="1" si="39"/>
        <v>6.0701651185190025E-2</v>
      </c>
      <c r="R88" s="228">
        <f t="shared" ca="1" si="39"/>
        <v>6.1560945156572081E-2</v>
      </c>
      <c r="S88" s="228">
        <f t="shared" ca="1" si="39"/>
        <v>6.2224998917295105E-2</v>
      </c>
      <c r="T88" s="228">
        <f t="shared" ca="1" si="39"/>
        <v>6.2869482480905597E-2</v>
      </c>
      <c r="U88" s="228">
        <f t="shared" ca="1" si="39"/>
        <v>6.3493800666553704E-2</v>
      </c>
      <c r="V88" s="228">
        <f t="shared" ca="1" si="39"/>
        <v>6.4097352438723984E-2</v>
      </c>
      <c r="W88" s="228">
        <f t="shared" ca="1" si="39"/>
        <v>6.4679530907235494E-2</v>
      </c>
      <c r="X88" s="228">
        <f t="shared" ca="1" si="39"/>
        <v>6.5277057923531057E-2</v>
      </c>
      <c r="Y88" s="228">
        <f t="shared" ca="1" si="39"/>
        <v>6.5851516129120824E-2</v>
      </c>
      <c r="Z88" s="228">
        <f t="shared" ca="1" si="39"/>
        <v>6.64022524681568E-2</v>
      </c>
      <c r="AA88" s="228">
        <f t="shared" ca="1" si="39"/>
        <v>6.6928607717042982E-2</v>
      </c>
      <c r="AB88" s="228">
        <f t="shared" ca="1" si="39"/>
        <v>6.7429916484435193E-2</v>
      </c>
      <c r="AC88" s="228">
        <f t="shared" ca="1" si="39"/>
        <v>6.832233158529831E-2</v>
      </c>
      <c r="AD88" s="228">
        <f t="shared" ca="1" si="39"/>
        <v>6.9220560408373225E-2</v>
      </c>
      <c r="AE88" s="228">
        <f t="shared" ca="1" si="39"/>
        <v>7.0124602953659881E-2</v>
      </c>
      <c r="AF88" s="228">
        <f t="shared" ca="1" si="39"/>
        <v>7.1034459221158322E-2</v>
      </c>
      <c r="AG88" s="228">
        <f t="shared" ca="1" si="39"/>
        <v>7.1950129210868519E-2</v>
      </c>
      <c r="AH88" s="228">
        <f t="shared" ca="1" si="39"/>
        <v>7.290692346836547E-2</v>
      </c>
      <c r="AI88" s="228">
        <f t="shared" ca="1" si="39"/>
        <v>7.3869979125978383E-2</v>
      </c>
      <c r="AJ88" s="228">
        <f t="shared" ca="1" si="39"/>
        <v>7.4839296183707243E-2</v>
      </c>
      <c r="AK88" s="228">
        <f t="shared" ca="1" si="39"/>
        <v>7.5814874641552066E-2</v>
      </c>
      <c r="AL88" s="228">
        <f t="shared" ca="1" si="39"/>
        <v>7.6796714499512808E-2</v>
      </c>
      <c r="AM88" s="228">
        <f t="shared" ca="1" si="39"/>
        <v>8.3638578779299338E-2</v>
      </c>
      <c r="AN88" s="228">
        <f t="shared" ca="1" si="39"/>
        <v>9.0841500223930755E-2</v>
      </c>
      <c r="AO88" s="228">
        <f t="shared" ca="1" si="39"/>
        <v>9.0841500223930755E-2</v>
      </c>
      <c r="AP88" s="228">
        <f t="shared" ca="1" si="39"/>
        <v>9.0841500223930755E-2</v>
      </c>
    </row>
    <row r="89" spans="1:54" s="227" customFormat="1">
      <c r="A89" s="227" t="s">
        <v>17</v>
      </c>
      <c r="B89" s="25"/>
      <c r="D89" s="228" t="str">
        <f>D83</f>
        <v>RHEL</v>
      </c>
      <c r="J89" s="43">
        <f t="shared" si="38"/>
        <v>29.137979962225089</v>
      </c>
      <c r="K89" s="13">
        <f t="shared" si="38"/>
        <v>30.895416547805155</v>
      </c>
      <c r="L89" s="13">
        <f t="shared" si="38"/>
        <v>32.652853133385221</v>
      </c>
      <c r="M89" s="13">
        <f t="shared" si="38"/>
        <v>34.410289718965288</v>
      </c>
      <c r="N89" s="228">
        <f ca="1">(($M$83*(1-N$75))+((N83-$M$83)*(1-N$76)))</f>
        <v>34.995100738798925</v>
      </c>
      <c r="O89" s="228">
        <f t="shared" ref="O89:AP89" ca="1" si="40">(($M$83*(1-O$75))+((O83-$M$83)*(1-O$76)))</f>
        <v>35.566767031522289</v>
      </c>
      <c r="P89" s="228">
        <f t="shared" ca="1" si="40"/>
        <v>36.124873485953032</v>
      </c>
      <c r="Q89" s="228">
        <f t="shared" ca="1" si="40"/>
        <v>36.669004990908803</v>
      </c>
      <c r="R89" s="228">
        <f t="shared" ca="1" si="40"/>
        <v>37.198746435207248</v>
      </c>
      <c r="S89" s="228">
        <f t="shared" ca="1" si="40"/>
        <v>37.52836985916133</v>
      </c>
      <c r="T89" s="228">
        <f t="shared" ca="1" si="40"/>
        <v>37.844757838616118</v>
      </c>
      <c r="U89" s="228">
        <f t="shared" ca="1" si="40"/>
        <v>38.147644668935882</v>
      </c>
      <c r="V89" s="228">
        <f t="shared" ca="1" si="40"/>
        <v>38.436764645484935</v>
      </c>
      <c r="W89" s="228">
        <f t="shared" ca="1" si="40"/>
        <v>38.71185206362761</v>
      </c>
      <c r="X89" s="228">
        <f t="shared" ca="1" si="40"/>
        <v>39.224606628220826</v>
      </c>
      <c r="Y89" s="228">
        <f t="shared" ca="1" si="40"/>
        <v>39.719676200363772</v>
      </c>
      <c r="Z89" s="228">
        <f t="shared" ca="1" si="40"/>
        <v>40.196568747121965</v>
      </c>
      <c r="AA89" s="228">
        <f t="shared" ca="1" si="40"/>
        <v>40.654792235560919</v>
      </c>
      <c r="AB89" s="228">
        <f t="shared" ca="1" si="40"/>
        <v>41.09385463274613</v>
      </c>
      <c r="AC89" s="228">
        <f t="shared" ca="1" si="40"/>
        <v>41.902215872299564</v>
      </c>
      <c r="AD89" s="228">
        <f t="shared" ca="1" si="40"/>
        <v>42.718848237975912</v>
      </c>
      <c r="AE89" s="228">
        <f t="shared" ca="1" si="40"/>
        <v>43.543751729775167</v>
      </c>
      <c r="AF89" s="228">
        <f t="shared" ca="1" si="40"/>
        <v>44.376926347697335</v>
      </c>
      <c r="AG89" s="228">
        <f t="shared" ca="1" si="40"/>
        <v>45.218372091742431</v>
      </c>
      <c r="AH89" s="228">
        <f t="shared" ca="1" si="40"/>
        <v>46.011892508276816</v>
      </c>
      <c r="AI89" s="228">
        <f t="shared" ca="1" si="40"/>
        <v>46.812749659289736</v>
      </c>
      <c r="AJ89" s="228">
        <f t="shared" ca="1" si="40"/>
        <v>47.620943544781213</v>
      </c>
      <c r="AK89" s="228">
        <f t="shared" ca="1" si="40"/>
        <v>48.436474164751232</v>
      </c>
      <c r="AL89" s="228">
        <f t="shared" ca="1" si="40"/>
        <v>49.259341519199793</v>
      </c>
      <c r="AM89" s="228">
        <f t="shared" ca="1" si="40"/>
        <v>53.727907167846261</v>
      </c>
      <c r="AN89" s="228">
        <f t="shared" ca="1" si="40"/>
        <v>57.547690063506764</v>
      </c>
      <c r="AO89" s="228">
        <f t="shared" ca="1" si="40"/>
        <v>57.547690063506764</v>
      </c>
      <c r="AP89" s="228">
        <f t="shared" ca="1" si="40"/>
        <v>57.547690063506764</v>
      </c>
    </row>
    <row r="90" spans="1:54" s="227" customFormat="1">
      <c r="A90" s="227" t="s">
        <v>17</v>
      </c>
      <c r="B90" s="25"/>
      <c r="D90" s="228">
        <f>D84</f>
        <v>0</v>
      </c>
      <c r="J90" s="43">
        <f t="shared" si="38"/>
        <v>0</v>
      </c>
      <c r="K90" s="13">
        <f t="shared" si="38"/>
        <v>0</v>
      </c>
      <c r="L90" s="13">
        <f t="shared" si="38"/>
        <v>0</v>
      </c>
      <c r="M90" s="13">
        <f t="shared" si="38"/>
        <v>0</v>
      </c>
      <c r="N90" s="228">
        <f ca="1">(($M$84*(1-N$75))+((N84-$M$84)*(1-N$76)))</f>
        <v>0</v>
      </c>
      <c r="O90" s="228">
        <f t="shared" ref="O90:AP90" ca="1" si="41">(($M$84*(1-O$75))+((O84-$M$84)*(1-O$76)))</f>
        <v>0</v>
      </c>
      <c r="P90" s="228">
        <f t="shared" ca="1" si="41"/>
        <v>0</v>
      </c>
      <c r="Q90" s="228">
        <f t="shared" ca="1" si="41"/>
        <v>0</v>
      </c>
      <c r="R90" s="228">
        <f t="shared" ca="1" si="41"/>
        <v>0</v>
      </c>
      <c r="S90" s="228">
        <f t="shared" ca="1" si="41"/>
        <v>0</v>
      </c>
      <c r="T90" s="228">
        <f t="shared" ca="1" si="41"/>
        <v>0</v>
      </c>
      <c r="U90" s="228">
        <f t="shared" ca="1" si="41"/>
        <v>0</v>
      </c>
      <c r="V90" s="228">
        <f t="shared" ca="1" si="41"/>
        <v>0</v>
      </c>
      <c r="W90" s="228">
        <f t="shared" ca="1" si="41"/>
        <v>0</v>
      </c>
      <c r="X90" s="228">
        <f t="shared" ca="1" si="41"/>
        <v>0</v>
      </c>
      <c r="Y90" s="228">
        <f t="shared" ca="1" si="41"/>
        <v>0</v>
      </c>
      <c r="Z90" s="228">
        <f t="shared" ca="1" si="41"/>
        <v>0</v>
      </c>
      <c r="AA90" s="228">
        <f t="shared" ca="1" si="41"/>
        <v>0</v>
      </c>
      <c r="AB90" s="228">
        <f t="shared" ca="1" si="41"/>
        <v>0</v>
      </c>
      <c r="AC90" s="228">
        <f t="shared" ca="1" si="41"/>
        <v>0</v>
      </c>
      <c r="AD90" s="228">
        <f t="shared" ca="1" si="41"/>
        <v>0</v>
      </c>
      <c r="AE90" s="228">
        <f t="shared" ca="1" si="41"/>
        <v>0</v>
      </c>
      <c r="AF90" s="228">
        <f t="shared" ca="1" si="41"/>
        <v>0</v>
      </c>
      <c r="AG90" s="228">
        <f t="shared" ca="1" si="41"/>
        <v>0</v>
      </c>
      <c r="AH90" s="228">
        <f t="shared" ca="1" si="41"/>
        <v>0</v>
      </c>
      <c r="AI90" s="228">
        <f t="shared" ca="1" si="41"/>
        <v>0</v>
      </c>
      <c r="AJ90" s="228">
        <f t="shared" ca="1" si="41"/>
        <v>0</v>
      </c>
      <c r="AK90" s="228">
        <f t="shared" ca="1" si="41"/>
        <v>0</v>
      </c>
      <c r="AL90" s="228">
        <f t="shared" ca="1" si="41"/>
        <v>0</v>
      </c>
      <c r="AM90" s="228">
        <f t="shared" ca="1" si="41"/>
        <v>0</v>
      </c>
      <c r="AN90" s="228">
        <f t="shared" ca="1" si="41"/>
        <v>0</v>
      </c>
      <c r="AO90" s="228">
        <f t="shared" ca="1" si="41"/>
        <v>0</v>
      </c>
      <c r="AP90" s="228">
        <f t="shared" ca="1" si="41"/>
        <v>0</v>
      </c>
    </row>
    <row r="91" spans="1:54" s="227" customFormat="1">
      <c r="A91" s="227" t="s">
        <v>17</v>
      </c>
      <c r="B91" s="25"/>
      <c r="D91" s="228">
        <f>D85</f>
        <v>0</v>
      </c>
      <c r="J91" s="43">
        <f t="shared" si="38"/>
        <v>0</v>
      </c>
      <c r="K91" s="13">
        <f t="shared" si="38"/>
        <v>0</v>
      </c>
      <c r="L91" s="13">
        <f t="shared" si="38"/>
        <v>0</v>
      </c>
      <c r="M91" s="13">
        <f t="shared" si="38"/>
        <v>0</v>
      </c>
      <c r="N91" s="228">
        <f ca="1">(($M$85*(1-N$75))+((N85-$M$85)*(1-N$76)))</f>
        <v>0</v>
      </c>
      <c r="O91" s="228">
        <f t="shared" ref="O91:AP91" ca="1" si="42">(($M$85*(1-O$75))+((O85-$M$85)*(1-O$76)))</f>
        <v>0</v>
      </c>
      <c r="P91" s="228">
        <f t="shared" ca="1" si="42"/>
        <v>0</v>
      </c>
      <c r="Q91" s="228">
        <f t="shared" ca="1" si="42"/>
        <v>0</v>
      </c>
      <c r="R91" s="228">
        <f t="shared" ca="1" si="42"/>
        <v>0</v>
      </c>
      <c r="S91" s="228">
        <f t="shared" ca="1" si="42"/>
        <v>0</v>
      </c>
      <c r="T91" s="228">
        <f t="shared" ca="1" si="42"/>
        <v>0</v>
      </c>
      <c r="U91" s="228">
        <f t="shared" ca="1" si="42"/>
        <v>0</v>
      </c>
      <c r="V91" s="228">
        <f t="shared" ca="1" si="42"/>
        <v>0</v>
      </c>
      <c r="W91" s="228">
        <f t="shared" ca="1" si="42"/>
        <v>0</v>
      </c>
      <c r="X91" s="228">
        <f t="shared" ca="1" si="42"/>
        <v>0</v>
      </c>
      <c r="Y91" s="228">
        <f t="shared" ca="1" si="42"/>
        <v>0</v>
      </c>
      <c r="Z91" s="228">
        <f t="shared" ca="1" si="42"/>
        <v>0</v>
      </c>
      <c r="AA91" s="228">
        <f t="shared" ca="1" si="42"/>
        <v>0</v>
      </c>
      <c r="AB91" s="228">
        <f t="shared" ca="1" si="42"/>
        <v>0</v>
      </c>
      <c r="AC91" s="228">
        <f t="shared" ca="1" si="42"/>
        <v>0</v>
      </c>
      <c r="AD91" s="228">
        <f t="shared" ca="1" si="42"/>
        <v>0</v>
      </c>
      <c r="AE91" s="228">
        <f t="shared" ca="1" si="42"/>
        <v>0</v>
      </c>
      <c r="AF91" s="228">
        <f t="shared" ca="1" si="42"/>
        <v>0</v>
      </c>
      <c r="AG91" s="228">
        <f t="shared" ca="1" si="42"/>
        <v>0</v>
      </c>
      <c r="AH91" s="228">
        <f t="shared" ca="1" si="42"/>
        <v>0</v>
      </c>
      <c r="AI91" s="228">
        <f t="shared" ca="1" si="42"/>
        <v>0</v>
      </c>
      <c r="AJ91" s="228">
        <f t="shared" ca="1" si="42"/>
        <v>0</v>
      </c>
      <c r="AK91" s="228">
        <f t="shared" ca="1" si="42"/>
        <v>0</v>
      </c>
      <c r="AL91" s="228">
        <f t="shared" ca="1" si="42"/>
        <v>0</v>
      </c>
      <c r="AM91" s="228">
        <f t="shared" ca="1" si="42"/>
        <v>0</v>
      </c>
      <c r="AN91" s="228">
        <f t="shared" ca="1" si="42"/>
        <v>0</v>
      </c>
      <c r="AO91" s="228">
        <f t="shared" ca="1" si="42"/>
        <v>0</v>
      </c>
      <c r="AP91" s="228">
        <f t="shared" ca="1" si="42"/>
        <v>0</v>
      </c>
    </row>
    <row r="92" spans="1:54">
      <c r="A92" s="4" t="s">
        <v>17</v>
      </c>
      <c r="B92" s="25"/>
      <c r="D92" s="6"/>
    </row>
    <row r="93" spans="1:54" ht="18" thickBot="1">
      <c r="A93" s="4" t="s">
        <v>17</v>
      </c>
      <c r="B93" s="25"/>
      <c r="C93" s="38" t="s">
        <v>155</v>
      </c>
      <c r="D93" s="14"/>
      <c r="E93" s="9"/>
      <c r="F93" s="9"/>
      <c r="G93" s="15"/>
      <c r="H93" s="15"/>
      <c r="I93" s="161" t="s">
        <v>478</v>
      </c>
      <c r="J93" s="41">
        <f>J94-J3</f>
        <v>0</v>
      </c>
    </row>
    <row r="94" spans="1:54" ht="22.2" thickTop="1">
      <c r="A94" s="4" t="s">
        <v>17</v>
      </c>
      <c r="B94" s="16" t="s">
        <v>19</v>
      </c>
      <c r="C94" s="16" t="s">
        <v>20</v>
      </c>
      <c r="D94" s="16" t="s">
        <v>21</v>
      </c>
      <c r="E94" s="16" t="s">
        <v>22</v>
      </c>
      <c r="F94" s="16" t="s">
        <v>23</v>
      </c>
      <c r="G94" s="16" t="s">
        <v>24</v>
      </c>
      <c r="H94" s="16" t="s">
        <v>25</v>
      </c>
      <c r="I94" s="17" t="s">
        <v>26</v>
      </c>
      <c r="J94" s="18">
        <f>'[6]TS BYDem'!J7</f>
        <v>2012</v>
      </c>
      <c r="K94" s="18">
        <v>2013</v>
      </c>
      <c r="L94" s="18">
        <f>1+K94</f>
        <v>2014</v>
      </c>
      <c r="M94" s="18">
        <f t="shared" ref="M94:AL94" si="43">1+L94</f>
        <v>2015</v>
      </c>
      <c r="N94" s="18">
        <f t="shared" si="43"/>
        <v>2016</v>
      </c>
      <c r="O94" s="18">
        <f t="shared" si="43"/>
        <v>2017</v>
      </c>
      <c r="P94" s="18">
        <f t="shared" si="43"/>
        <v>2018</v>
      </c>
      <c r="Q94" s="18">
        <f t="shared" si="43"/>
        <v>2019</v>
      </c>
      <c r="R94" s="18">
        <f t="shared" si="43"/>
        <v>2020</v>
      </c>
      <c r="S94" s="18">
        <f t="shared" si="43"/>
        <v>2021</v>
      </c>
      <c r="T94" s="18">
        <f t="shared" si="43"/>
        <v>2022</v>
      </c>
      <c r="U94" s="18">
        <f t="shared" si="43"/>
        <v>2023</v>
      </c>
      <c r="V94" s="18">
        <f t="shared" si="43"/>
        <v>2024</v>
      </c>
      <c r="W94" s="18">
        <f t="shared" si="43"/>
        <v>2025</v>
      </c>
      <c r="X94" s="18">
        <f t="shared" si="43"/>
        <v>2026</v>
      </c>
      <c r="Y94" s="18">
        <f t="shared" si="43"/>
        <v>2027</v>
      </c>
      <c r="Z94" s="18">
        <f t="shared" si="43"/>
        <v>2028</v>
      </c>
      <c r="AA94" s="18">
        <f t="shared" si="43"/>
        <v>2029</v>
      </c>
      <c r="AB94" s="18">
        <f t="shared" si="43"/>
        <v>2030</v>
      </c>
      <c r="AC94" s="18">
        <f t="shared" si="43"/>
        <v>2031</v>
      </c>
      <c r="AD94" s="18">
        <f t="shared" si="43"/>
        <v>2032</v>
      </c>
      <c r="AE94" s="18">
        <f t="shared" si="43"/>
        <v>2033</v>
      </c>
      <c r="AF94" s="18">
        <f>1+AE94</f>
        <v>2034</v>
      </c>
      <c r="AG94" s="18">
        <f t="shared" si="43"/>
        <v>2035</v>
      </c>
      <c r="AH94" s="18">
        <f t="shared" si="43"/>
        <v>2036</v>
      </c>
      <c r="AI94" s="18">
        <f t="shared" si="43"/>
        <v>2037</v>
      </c>
      <c r="AJ94" s="18">
        <f t="shared" si="43"/>
        <v>2038</v>
      </c>
      <c r="AK94" s="18">
        <f t="shared" si="43"/>
        <v>2039</v>
      </c>
      <c r="AL94" s="18">
        <f t="shared" si="43"/>
        <v>2040</v>
      </c>
      <c r="AM94" s="18">
        <f>5+AL94</f>
        <v>2045</v>
      </c>
      <c r="AN94" s="18">
        <f>5+AM94</f>
        <v>2050</v>
      </c>
      <c r="AO94" s="18">
        <f>10+AN94</f>
        <v>2060</v>
      </c>
      <c r="AP94" s="18">
        <f>10+AO94</f>
        <v>2070</v>
      </c>
      <c r="AQ94" s="18"/>
      <c r="AR94" s="18"/>
      <c r="AS94" s="18"/>
      <c r="AT94" s="18"/>
      <c r="AU94" s="18"/>
      <c r="AV94" s="18"/>
    </row>
    <row r="95" spans="1:54">
      <c r="A95" s="4" t="s">
        <v>17</v>
      </c>
      <c r="B95" s="16"/>
      <c r="C95" s="5" t="str">
        <f>C34</f>
        <v>Low Income Electrified</v>
      </c>
      <c r="D95" s="16"/>
      <c r="E95" s="16"/>
      <c r="F95" s="16"/>
      <c r="G95" s="16"/>
      <c r="H95" s="16"/>
      <c r="I95" s="17"/>
      <c r="J95" s="6"/>
    </row>
    <row r="96" spans="1:54">
      <c r="A96" s="22" t="str">
        <f>'[6]TS BYDem'!A10</f>
        <v/>
      </c>
      <c r="B96" s="22" t="str">
        <f>'[6]TS BYDem'!B10</f>
        <v>COM_PROJ</v>
      </c>
      <c r="C96" s="22" t="str">
        <f>'[6]TS BYDem'!C10</f>
        <v>-</v>
      </c>
      <c r="D96" s="22" t="str">
        <f>'[6]TS BYDem'!D10</f>
        <v>RLEL</v>
      </c>
      <c r="E96" s="132" t="str">
        <f>'[6]TS BYDem'!E10</f>
        <v>-</v>
      </c>
      <c r="F96" s="132" t="str">
        <f>'[6]TS BYDem'!F10</f>
        <v>-</v>
      </c>
      <c r="G96" s="132" t="str">
        <f>'[6]TS BYDem'!G10</f>
        <v>-</v>
      </c>
      <c r="H96" s="132" t="str">
        <f>'[6]TS BYDem'!H10</f>
        <v>-</v>
      </c>
      <c r="I96" s="132">
        <f>'[6]TS BYDem'!I10</f>
        <v>0</v>
      </c>
      <c r="J96" s="24">
        <f>'[6]TS BYDem'!J10</f>
        <v>10.669591824450372</v>
      </c>
      <c r="K96" s="24">
        <f>($O96-$J96)*(K$94-$J$94)/($O$94-$J$94)+$J96</f>
        <v>11.660595758588318</v>
      </c>
      <c r="L96" s="24">
        <f t="shared" ref="L96:N111" si="44">($O96-$J96)*(L$94-$J$94)/($O$94-$J$94)+$J96</f>
        <v>12.651599692726267</v>
      </c>
      <c r="M96" s="24">
        <f t="shared" si="44"/>
        <v>13.642603626864213</v>
      </c>
      <c r="N96" s="24">
        <f t="shared" si="44"/>
        <v>14.633607561002162</v>
      </c>
      <c r="O96" s="24">
        <f>'[6]TS BYDem'!O10</f>
        <v>15.624611495140108</v>
      </c>
      <c r="P96" s="24">
        <f ca="1">OFFSET(P$21,$BB96,$J$93)/OFFSET(O$21,$BB96,$J$93)*O96</f>
        <v>15.575653009982673</v>
      </c>
      <c r="Q96" s="24">
        <f t="shared" ref="Q96:T96" ca="1" si="45">OFFSET(Q$21,$BB96,$J$93)/OFFSET(P$21,$BB96,$J$93)*P96</f>
        <v>15.522897105817895</v>
      </c>
      <c r="R96" s="24">
        <f t="shared" ca="1" si="45"/>
        <v>15.466343782645774</v>
      </c>
      <c r="S96" s="24">
        <f t="shared" ca="1" si="45"/>
        <v>15.448618205600493</v>
      </c>
      <c r="T96" s="24">
        <f t="shared" ca="1" si="45"/>
        <v>15.427807439752314</v>
      </c>
      <c r="U96" s="24">
        <f t="shared" ref="U96:AP96" ca="1" si="46">OFFSET(U$21,$BB96,$J$93)/OFFSET(T$21,$BB96,$J$93)*T96</f>
        <v>15.403911485101242</v>
      </c>
      <c r="V96" s="24">
        <f t="shared" ca="1" si="46"/>
        <v>15.37693034164727</v>
      </c>
      <c r="W96" s="24">
        <f t="shared" ca="1" si="46"/>
        <v>15.346864009390409</v>
      </c>
      <c r="X96" s="24">
        <f t="shared" ca="1" si="46"/>
        <v>15.257125322641278</v>
      </c>
      <c r="Y96" s="24">
        <f t="shared" ca="1" si="46"/>
        <v>15.162723104647624</v>
      </c>
      <c r="Z96" s="24">
        <f t="shared" ca="1" si="46"/>
        <v>15.063657355409449</v>
      </c>
      <c r="AA96" s="24">
        <f t="shared" ca="1" si="46"/>
        <v>14.959928074926752</v>
      </c>
      <c r="AB96" s="24">
        <f t="shared" ca="1" si="46"/>
        <v>14.851535263199537</v>
      </c>
      <c r="AC96" s="24">
        <f t="shared" ca="1" si="46"/>
        <v>14.754822277470142</v>
      </c>
      <c r="AD96" s="24">
        <f t="shared" ca="1" si="46"/>
        <v>14.653979441434242</v>
      </c>
      <c r="AE96" s="24">
        <f t="shared" ca="1" si="46"/>
        <v>14.549006755091835</v>
      </c>
      <c r="AF96" s="24">
        <f t="shared" ca="1" si="46"/>
        <v>14.439904218442923</v>
      </c>
      <c r="AG96" s="24">
        <f t="shared" ca="1" si="46"/>
        <v>14.326671831487513</v>
      </c>
      <c r="AH96" s="24">
        <f t="shared" ca="1" si="46"/>
        <v>14.234763700601091</v>
      </c>
      <c r="AI96" s="24">
        <f t="shared" ca="1" si="46"/>
        <v>14.138931186603198</v>
      </c>
      <c r="AJ96" s="24">
        <f t="shared" ca="1" si="46"/>
        <v>14.039174289493834</v>
      </c>
      <c r="AK96" s="24">
        <f t="shared" ca="1" si="46"/>
        <v>13.935493009273003</v>
      </c>
      <c r="AL96" s="24">
        <f t="shared" ca="1" si="46"/>
        <v>13.827887345940697</v>
      </c>
      <c r="AM96" s="24">
        <f t="shared" ca="1" si="46"/>
        <v>13.47634899335949</v>
      </c>
      <c r="AN96" s="24">
        <f t="shared" ca="1" si="46"/>
        <v>13.236471505311645</v>
      </c>
      <c r="AO96" s="24">
        <f t="shared" ca="1" si="46"/>
        <v>13.236471505311645</v>
      </c>
      <c r="AP96" s="24">
        <f t="shared" ca="1" si="46"/>
        <v>13.236471505311645</v>
      </c>
      <c r="AQ96" s="6"/>
      <c r="AR96" s="6"/>
      <c r="AS96" s="6"/>
      <c r="AT96" s="6"/>
      <c r="AU96" s="6"/>
      <c r="AV96" s="6"/>
      <c r="BB96" s="4">
        <f>MATCH(MID(D96,2,2),$B$34:$B$38,0)</f>
        <v>1</v>
      </c>
    </row>
    <row r="97" spans="1:54">
      <c r="A97" s="22" t="str">
        <f>'[6]TS BYDem'!A11</f>
        <v/>
      </c>
      <c r="B97" s="22" t="str">
        <f>'[6]TS BYDem'!B11</f>
        <v>COM_PROJ</v>
      </c>
      <c r="C97" s="22" t="str">
        <f>'[6]TS BYDem'!C11</f>
        <v>-</v>
      </c>
      <c r="D97" s="22" t="str">
        <f>'[6]TS BYDem'!D11</f>
        <v>RLNL</v>
      </c>
      <c r="E97" s="132" t="s">
        <v>138</v>
      </c>
      <c r="F97" s="132" t="s">
        <v>138</v>
      </c>
      <c r="G97" s="132" t="s">
        <v>138</v>
      </c>
      <c r="H97" s="132" t="s">
        <v>138</v>
      </c>
      <c r="I97" s="132">
        <v>0</v>
      </c>
      <c r="J97" s="6">
        <f>'[6]TS BYDem'!J11</f>
        <v>4.742986727829742E-2</v>
      </c>
      <c r="K97" s="24">
        <f t="shared" ref="K97:N136" si="47">($O97-$J97)*(K$94-$J$94)/($O$94-$J$94)+$J97</f>
        <v>4.4891195588489731E-2</v>
      </c>
      <c r="L97" s="24">
        <f t="shared" si="44"/>
        <v>4.2352523898682035E-2</v>
      </c>
      <c r="M97" s="24">
        <f t="shared" si="44"/>
        <v>3.9813852208874345E-2</v>
      </c>
      <c r="N97" s="24">
        <f t="shared" si="44"/>
        <v>3.7275180519066656E-2</v>
      </c>
      <c r="O97" s="24">
        <f>'[6]TS BYDem'!O11</f>
        <v>3.4736508829258959E-2</v>
      </c>
      <c r="P97" s="24">
        <f t="shared" ref="P97:S103" ca="1" si="48">OFFSET(P$21,$BB97,$J$93)/OFFSET(O$21,$BB97,$J$93)*O97</f>
        <v>3.4627664724401222E-2</v>
      </c>
      <c r="Q97" s="24">
        <f t="shared" ca="1" si="48"/>
        <v>3.4510378228581128E-2</v>
      </c>
      <c r="R97" s="24">
        <f t="shared" ca="1" si="48"/>
        <v>3.4384649341798669E-2</v>
      </c>
      <c r="S97" s="24">
        <f t="shared" ca="1" si="48"/>
        <v>3.4345241983495478E-2</v>
      </c>
      <c r="T97" s="24">
        <f t="shared" ref="T97:AP97" ca="1" si="49">OFFSET(T$21,$BB97,$J$93)/OFFSET(S$21,$BB97,$J$93)*S97</f>
        <v>3.4298975658610939E-2</v>
      </c>
      <c r="U97" s="24">
        <f t="shared" ca="1" si="49"/>
        <v>3.4245850367145052E-2</v>
      </c>
      <c r="V97" s="24">
        <f t="shared" ca="1" si="49"/>
        <v>3.4185866109097809E-2</v>
      </c>
      <c r="W97" s="24">
        <f t="shared" ca="1" si="49"/>
        <v>3.4119022884469233E-2</v>
      </c>
      <c r="X97" s="24">
        <f t="shared" ca="1" si="49"/>
        <v>3.391951656806854E-2</v>
      </c>
      <c r="Y97" s="24">
        <f t="shared" ca="1" si="49"/>
        <v>3.3709642327044487E-2</v>
      </c>
      <c r="Z97" s="24">
        <f t="shared" ca="1" si="49"/>
        <v>3.3489400161397079E-2</v>
      </c>
      <c r="AA97" s="24">
        <f t="shared" ca="1" si="49"/>
        <v>3.3258790071126317E-2</v>
      </c>
      <c r="AB97" s="24">
        <f t="shared" ca="1" si="49"/>
        <v>3.30178120562322E-2</v>
      </c>
      <c r="AC97" s="24">
        <f t="shared" ca="1" si="49"/>
        <v>3.2802800535226502E-2</v>
      </c>
      <c r="AD97" s="24">
        <f t="shared" ca="1" si="49"/>
        <v>3.2578607564705722E-2</v>
      </c>
      <c r="AE97" s="24">
        <f t="shared" ca="1" si="49"/>
        <v>3.2345233144669853E-2</v>
      </c>
      <c r="AF97" s="24">
        <f t="shared" ca="1" si="49"/>
        <v>3.2102677275118903E-2</v>
      </c>
      <c r="AG97" s="24">
        <f t="shared" ca="1" si="49"/>
        <v>3.1850939956052884E-2</v>
      </c>
      <c r="AH97" s="24">
        <f t="shared" ca="1" si="49"/>
        <v>3.1646610549141876E-2</v>
      </c>
      <c r="AI97" s="24">
        <f t="shared" ca="1" si="49"/>
        <v>3.143355648570783E-2</v>
      </c>
      <c r="AJ97" s="24">
        <f t="shared" ca="1" si="49"/>
        <v>3.1211777765750747E-2</v>
      </c>
      <c r="AK97" s="24">
        <f t="shared" ca="1" si="49"/>
        <v>3.0981274389270633E-2</v>
      </c>
      <c r="AL97" s="24">
        <f t="shared" ca="1" si="49"/>
        <v>3.0742046356267476E-2</v>
      </c>
      <c r="AM97" s="24">
        <f t="shared" ca="1" si="49"/>
        <v>2.9960509158234849E-2</v>
      </c>
      <c r="AN97" s="24">
        <f t="shared" ca="1" si="49"/>
        <v>2.9427215483438122E-2</v>
      </c>
      <c r="AO97" s="24">
        <f t="shared" ca="1" si="49"/>
        <v>2.9427215483438122E-2</v>
      </c>
      <c r="AP97" s="24">
        <f t="shared" ca="1" si="49"/>
        <v>2.9427215483438122E-2</v>
      </c>
      <c r="AQ97" s="6"/>
      <c r="AR97" s="6"/>
      <c r="AS97" s="6"/>
      <c r="AT97" s="6"/>
      <c r="AU97" s="6"/>
      <c r="AV97" s="6"/>
      <c r="BB97" s="257">
        <v>1</v>
      </c>
    </row>
    <row r="98" spans="1:54">
      <c r="A98" s="22" t="str">
        <f>'[6]TS BYDem'!A12</f>
        <v/>
      </c>
      <c r="B98" s="22" t="str">
        <f>'[6]TS BYDem'!B12</f>
        <v>COM_PROJ</v>
      </c>
      <c r="C98" s="22" t="str">
        <f>'[6]TS BYDem'!C12</f>
        <v>-</v>
      </c>
      <c r="D98" s="22" t="str">
        <f>'[6]TS BYDem'!D12</f>
        <v>RLEK</v>
      </c>
      <c r="E98" s="132" t="s">
        <v>138</v>
      </c>
      <c r="F98" s="132" t="s">
        <v>138</v>
      </c>
      <c r="G98" s="132" t="s">
        <v>138</v>
      </c>
      <c r="H98" s="132" t="s">
        <v>138</v>
      </c>
      <c r="I98" s="132">
        <v>0</v>
      </c>
      <c r="J98" s="6">
        <f>'[6]TS BYDem'!J12</f>
        <v>10.053924891431189</v>
      </c>
      <c r="K98" s="24">
        <f t="shared" si="47"/>
        <v>10.118379478945931</v>
      </c>
      <c r="L98" s="24">
        <f t="shared" si="44"/>
        <v>10.182834066460671</v>
      </c>
      <c r="M98" s="24">
        <f t="shared" si="44"/>
        <v>10.247288653975414</v>
      </c>
      <c r="N98" s="24">
        <f t="shared" si="44"/>
        <v>10.311743241490154</v>
      </c>
      <c r="O98" s="24">
        <f>'[6]TS BYDem'!O12</f>
        <v>10.376197829004896</v>
      </c>
      <c r="P98" s="24">
        <f t="shared" ca="1" si="48"/>
        <v>10.343684833237932</v>
      </c>
      <c r="Q98" s="24">
        <f t="shared" ca="1" si="48"/>
        <v>10.308649997432125</v>
      </c>
      <c r="R98" s="24">
        <f t="shared" ca="1" si="48"/>
        <v>10.271093321587475</v>
      </c>
      <c r="S98" s="24">
        <f t="shared" ca="1" si="48"/>
        <v>10.259321886879334</v>
      </c>
      <c r="T98" s="24">
        <f t="shared" ref="T98:AP98" ca="1" si="50">OFFSET(T$21,$BB98,$J$93)/OFFSET(S$21,$BB98,$J$93)*S98</f>
        <v>10.245501599348923</v>
      </c>
      <c r="U98" s="24">
        <f t="shared" ca="1" si="50"/>
        <v>10.229632458996244</v>
      </c>
      <c r="V98" s="24">
        <f t="shared" ca="1" si="50"/>
        <v>10.211714465821293</v>
      </c>
      <c r="W98" s="24">
        <f t="shared" ca="1" si="50"/>
        <v>10.191747619824078</v>
      </c>
      <c r="X98" s="24">
        <f t="shared" ca="1" si="50"/>
        <v>10.132152770575269</v>
      </c>
      <c r="Y98" s="24">
        <f t="shared" ca="1" si="50"/>
        <v>10.069460902063614</v>
      </c>
      <c r="Z98" s="24">
        <f t="shared" ca="1" si="50"/>
        <v>10.003672014289117</v>
      </c>
      <c r="AA98" s="24">
        <f t="shared" ca="1" si="50"/>
        <v>9.9347861072517762</v>
      </c>
      <c r="AB98" s="24">
        <f t="shared" ca="1" si="50"/>
        <v>9.8628031809515928</v>
      </c>
      <c r="AC98" s="24">
        <f t="shared" ca="1" si="50"/>
        <v>9.7985767473616079</v>
      </c>
      <c r="AD98" s="24">
        <f t="shared" ca="1" si="50"/>
        <v>9.7316077083764227</v>
      </c>
      <c r="AE98" s="24">
        <f t="shared" ca="1" si="50"/>
        <v>9.6618960639960374</v>
      </c>
      <c r="AF98" s="24">
        <f t="shared" ca="1" si="50"/>
        <v>9.5894418142204518</v>
      </c>
      <c r="AG98" s="24">
        <f t="shared" ca="1" si="50"/>
        <v>9.5142449590496714</v>
      </c>
      <c r="AH98" s="24">
        <f t="shared" ca="1" si="50"/>
        <v>9.453209396759485</v>
      </c>
      <c r="AI98" s="24">
        <f t="shared" ca="1" si="50"/>
        <v>9.3895676784356521</v>
      </c>
      <c r="AJ98" s="24">
        <f t="shared" ca="1" si="50"/>
        <v>9.3233198040781744</v>
      </c>
      <c r="AK98" s="24">
        <f t="shared" ca="1" si="50"/>
        <v>9.2544657736870537</v>
      </c>
      <c r="AL98" s="24">
        <f t="shared" ca="1" si="50"/>
        <v>9.1830055872622847</v>
      </c>
      <c r="AM98" s="24">
        <f t="shared" ca="1" si="50"/>
        <v>8.9495513671685796</v>
      </c>
      <c r="AN98" s="24">
        <f t="shared" ca="1" si="50"/>
        <v>8.7902503649335237</v>
      </c>
      <c r="AO98" s="24">
        <f t="shared" ca="1" si="50"/>
        <v>8.7902503649335237</v>
      </c>
      <c r="AP98" s="24">
        <f t="shared" ca="1" si="50"/>
        <v>8.7902503649335237</v>
      </c>
      <c r="AQ98" s="6"/>
      <c r="AR98" s="6"/>
      <c r="AS98" s="6"/>
      <c r="AT98" s="6"/>
      <c r="AU98" s="6"/>
      <c r="AV98" s="6"/>
      <c r="BB98" s="4">
        <f t="shared" ref="BB98:BB134" si="51">MATCH(MID(D98,2,2),$B$34:$B$38,0)</f>
        <v>1</v>
      </c>
    </row>
    <row r="99" spans="1:54">
      <c r="A99" s="22" t="str">
        <f>'[6]TS BYDem'!A13</f>
        <v/>
      </c>
      <c r="B99" s="22" t="str">
        <f>'[6]TS BYDem'!B13</f>
        <v>COM_PROJ</v>
      </c>
      <c r="C99" s="22" t="str">
        <f>'[6]TS BYDem'!C13</f>
        <v>-</v>
      </c>
      <c r="D99" s="22" t="str">
        <f>'[6]TS BYDem'!D13</f>
        <v>RLEH</v>
      </c>
      <c r="E99" s="132" t="s">
        <v>138</v>
      </c>
      <c r="F99" s="132" t="s">
        <v>138</v>
      </c>
      <c r="G99" s="132" t="s">
        <v>138</v>
      </c>
      <c r="H99" s="132" t="s">
        <v>138</v>
      </c>
      <c r="I99" s="132">
        <v>0</v>
      </c>
      <c r="J99" s="6">
        <f>'[6]TS BYDem'!J13</f>
        <v>14.600188686866282</v>
      </c>
      <c r="K99" s="24">
        <f t="shared" si="47"/>
        <v>13.692886342241749</v>
      </c>
      <c r="L99" s="24">
        <f t="shared" si="44"/>
        <v>12.785583997617215</v>
      </c>
      <c r="M99" s="24">
        <f t="shared" si="44"/>
        <v>11.878281652992682</v>
      </c>
      <c r="N99" s="24">
        <f t="shared" si="44"/>
        <v>10.970979308368147</v>
      </c>
      <c r="O99" s="24">
        <f>'[6]TS BYDem'!O13</f>
        <v>10.063676963743614</v>
      </c>
      <c r="P99" s="24">
        <f t="shared" ca="1" si="48"/>
        <v>10.032143227406431</v>
      </c>
      <c r="Q99" s="24">
        <f t="shared" ca="1" si="48"/>
        <v>9.9981636063701149</v>
      </c>
      <c r="R99" s="24">
        <f t="shared" ca="1" si="48"/>
        <v>9.9617381006346637</v>
      </c>
      <c r="S99" s="24">
        <f t="shared" ca="1" si="48"/>
        <v>9.9503212099532448</v>
      </c>
      <c r="T99" s="24">
        <f t="shared" ref="T99:AP99" ca="1" si="52">OFFSET(T$21,$BB99,$J$93)/OFFSET(S$21,$BB99,$J$93)*S99</f>
        <v>9.9369171758798647</v>
      </c>
      <c r="U99" s="24">
        <f t="shared" ca="1" si="52"/>
        <v>9.921525998414527</v>
      </c>
      <c r="V99" s="24">
        <f t="shared" ca="1" si="52"/>
        <v>9.9041476775572281</v>
      </c>
      <c r="W99" s="24">
        <f t="shared" ca="1" si="52"/>
        <v>9.8847822133079735</v>
      </c>
      <c r="X99" s="24">
        <f t="shared" ca="1" si="52"/>
        <v>9.8269823022590028</v>
      </c>
      <c r="Y99" s="24">
        <f t="shared" ca="1" si="52"/>
        <v>9.7661786511189703</v>
      </c>
      <c r="Z99" s="24">
        <f t="shared" ca="1" si="52"/>
        <v>9.7023712598878777</v>
      </c>
      <c r="AA99" s="24">
        <f t="shared" ca="1" si="52"/>
        <v>9.6355601285657251</v>
      </c>
      <c r="AB99" s="24">
        <f t="shared" ca="1" si="52"/>
        <v>9.5657452571525141</v>
      </c>
      <c r="AC99" s="24">
        <f t="shared" ca="1" si="52"/>
        <v>9.5034532605238287</v>
      </c>
      <c r="AD99" s="24">
        <f t="shared" ca="1" si="52"/>
        <v>9.438501263074885</v>
      </c>
      <c r="AE99" s="24">
        <f t="shared" ca="1" si="52"/>
        <v>9.3708892648056832</v>
      </c>
      <c r="AF99" s="24">
        <f t="shared" ca="1" si="52"/>
        <v>9.3006172657162232</v>
      </c>
      <c r="AG99" s="24">
        <f t="shared" ca="1" si="52"/>
        <v>9.2276852658065103</v>
      </c>
      <c r="AH99" s="24">
        <f t="shared" ca="1" si="52"/>
        <v>9.1684880345748656</v>
      </c>
      <c r="AI99" s="24">
        <f t="shared" ca="1" si="52"/>
        <v>9.1067631421640556</v>
      </c>
      <c r="AJ99" s="24">
        <f t="shared" ca="1" si="52"/>
        <v>9.0425105885740784</v>
      </c>
      <c r="AK99" s="24">
        <f t="shared" ca="1" si="52"/>
        <v>8.9757303738049377</v>
      </c>
      <c r="AL99" s="24">
        <f t="shared" ca="1" si="52"/>
        <v>8.9064224978566298</v>
      </c>
      <c r="AM99" s="24">
        <f t="shared" ca="1" si="52"/>
        <v>8.67999968908188</v>
      </c>
      <c r="AN99" s="24">
        <f t="shared" ca="1" si="52"/>
        <v>8.5254966762332938</v>
      </c>
      <c r="AO99" s="24">
        <f t="shared" ca="1" si="52"/>
        <v>8.5254966762332938</v>
      </c>
      <c r="AP99" s="24">
        <f t="shared" ca="1" si="52"/>
        <v>8.5254966762332938</v>
      </c>
      <c r="AQ99" s="6"/>
      <c r="AR99" s="6"/>
      <c r="AS99" s="6"/>
      <c r="AT99" s="6"/>
      <c r="AU99" s="6"/>
      <c r="AV99" s="6"/>
      <c r="BB99" s="4">
        <f t="shared" si="51"/>
        <v>1</v>
      </c>
    </row>
    <row r="100" spans="1:54">
      <c r="A100" s="22" t="str">
        <f>'[6]TS BYDem'!A14</f>
        <v/>
      </c>
      <c r="B100" s="22" t="str">
        <f>'[6]TS BYDem'!B14</f>
        <v>COM_PROJ</v>
      </c>
      <c r="C100" s="22" t="str">
        <f>'[6]TS BYDem'!C14</f>
        <v>-</v>
      </c>
      <c r="D100" s="22" t="str">
        <f>'[6]TS BYDem'!D14</f>
        <v>RLEWG</v>
      </c>
      <c r="E100" s="132" t="s">
        <v>138</v>
      </c>
      <c r="F100" s="132" t="s">
        <v>138</v>
      </c>
      <c r="G100" s="132" t="s">
        <v>138</v>
      </c>
      <c r="H100" s="132" t="s">
        <v>138</v>
      </c>
      <c r="I100" s="132">
        <v>0</v>
      </c>
      <c r="J100" s="6">
        <f>'[6]TS BYDem'!J14</f>
        <v>0</v>
      </c>
      <c r="K100" s="24">
        <f t="shared" si="47"/>
        <v>0</v>
      </c>
      <c r="L100" s="24">
        <f t="shared" si="44"/>
        <v>0</v>
      </c>
      <c r="M100" s="24">
        <f t="shared" si="44"/>
        <v>0</v>
      </c>
      <c r="N100" s="24">
        <f t="shared" si="44"/>
        <v>0</v>
      </c>
      <c r="O100" s="24">
        <f>'[6]TS BYDem'!O14</f>
        <v>0</v>
      </c>
      <c r="P100" s="24">
        <f t="shared" ca="1" si="48"/>
        <v>0</v>
      </c>
      <c r="Q100" s="24">
        <f t="shared" ca="1" si="48"/>
        <v>0</v>
      </c>
      <c r="R100" s="24">
        <f t="shared" ca="1" si="48"/>
        <v>0</v>
      </c>
      <c r="S100" s="24">
        <f t="shared" ca="1" si="48"/>
        <v>0</v>
      </c>
      <c r="T100" s="24">
        <f t="shared" ref="T100:AP100" ca="1" si="53">OFFSET(T$21,$BB100,$J$93)/OFFSET(S$21,$BB100,$J$93)*S100</f>
        <v>0</v>
      </c>
      <c r="U100" s="24">
        <f t="shared" ca="1" si="53"/>
        <v>0</v>
      </c>
      <c r="V100" s="24">
        <f t="shared" ca="1" si="53"/>
        <v>0</v>
      </c>
      <c r="W100" s="24">
        <f t="shared" ca="1" si="53"/>
        <v>0</v>
      </c>
      <c r="X100" s="24">
        <f t="shared" ca="1" si="53"/>
        <v>0</v>
      </c>
      <c r="Y100" s="24">
        <f t="shared" ca="1" si="53"/>
        <v>0</v>
      </c>
      <c r="Z100" s="24">
        <f t="shared" ca="1" si="53"/>
        <v>0</v>
      </c>
      <c r="AA100" s="24">
        <f t="shared" ca="1" si="53"/>
        <v>0</v>
      </c>
      <c r="AB100" s="24">
        <f t="shared" ca="1" si="53"/>
        <v>0</v>
      </c>
      <c r="AC100" s="24">
        <f t="shared" ca="1" si="53"/>
        <v>0</v>
      </c>
      <c r="AD100" s="24">
        <f t="shared" ca="1" si="53"/>
        <v>0</v>
      </c>
      <c r="AE100" s="24">
        <f t="shared" ca="1" si="53"/>
        <v>0</v>
      </c>
      <c r="AF100" s="24">
        <f t="shared" ca="1" si="53"/>
        <v>0</v>
      </c>
      <c r="AG100" s="24">
        <f t="shared" ca="1" si="53"/>
        <v>0</v>
      </c>
      <c r="AH100" s="24">
        <f t="shared" ca="1" si="53"/>
        <v>0</v>
      </c>
      <c r="AI100" s="24">
        <f t="shared" ca="1" si="53"/>
        <v>0</v>
      </c>
      <c r="AJ100" s="24">
        <f t="shared" ca="1" si="53"/>
        <v>0</v>
      </c>
      <c r="AK100" s="24">
        <f t="shared" ca="1" si="53"/>
        <v>0</v>
      </c>
      <c r="AL100" s="24">
        <f t="shared" ca="1" si="53"/>
        <v>0</v>
      </c>
      <c r="AM100" s="24">
        <f t="shared" ca="1" si="53"/>
        <v>0</v>
      </c>
      <c r="AN100" s="24">
        <f t="shared" ca="1" si="53"/>
        <v>0</v>
      </c>
      <c r="AO100" s="24">
        <f t="shared" ca="1" si="53"/>
        <v>0</v>
      </c>
      <c r="AP100" s="24">
        <f t="shared" ca="1" si="53"/>
        <v>0</v>
      </c>
      <c r="AQ100" s="6"/>
      <c r="AR100" s="6"/>
      <c r="AS100" s="6"/>
      <c r="AT100" s="6"/>
      <c r="AU100" s="6"/>
      <c r="AV100" s="6"/>
      <c r="BB100" s="4">
        <f t="shared" si="51"/>
        <v>1</v>
      </c>
    </row>
    <row r="101" spans="1:54">
      <c r="A101" s="22" t="str">
        <f>'[6]TS BYDem'!A15</f>
        <v/>
      </c>
      <c r="B101" s="22" t="str">
        <f>'[6]TS BYDem'!B15</f>
        <v>COM_PROJ</v>
      </c>
      <c r="C101" s="22" t="str">
        <f>'[6]TS BYDem'!C15</f>
        <v>-</v>
      </c>
      <c r="D101" s="22" t="str">
        <f>'[6]TS BYDem'!D15</f>
        <v>RLEW</v>
      </c>
      <c r="E101" s="132" t="s">
        <v>138</v>
      </c>
      <c r="F101" s="132" t="s">
        <v>138</v>
      </c>
      <c r="G101" s="132" t="s">
        <v>138</v>
      </c>
      <c r="H101" s="132" t="s">
        <v>138</v>
      </c>
      <c r="I101" s="132">
        <v>0</v>
      </c>
      <c r="J101" s="6">
        <f>'[6]TS BYDem'!J15</f>
        <v>5.6486911771289003</v>
      </c>
      <c r="K101" s="24">
        <f t="shared" si="47"/>
        <v>5.7273475681852952</v>
      </c>
      <c r="L101" s="24">
        <f t="shared" si="44"/>
        <v>5.8060039592416901</v>
      </c>
      <c r="M101" s="24">
        <f t="shared" si="44"/>
        <v>5.8846603502980841</v>
      </c>
      <c r="N101" s="24">
        <f t="shared" si="44"/>
        <v>5.963316741354479</v>
      </c>
      <c r="O101" s="24">
        <f>'[6]TS BYDem'!O15</f>
        <v>6.0419731324108739</v>
      </c>
      <c r="P101" s="24">
        <f t="shared" ca="1" si="48"/>
        <v>6.023041087155427</v>
      </c>
      <c r="Q101" s="24">
        <f t="shared" ca="1" si="48"/>
        <v>6.0026405955567226</v>
      </c>
      <c r="R101" s="24">
        <f t="shared" ca="1" si="48"/>
        <v>5.9807716576147589</v>
      </c>
      <c r="S101" s="24">
        <f t="shared" ca="1" si="48"/>
        <v>5.9739172497277293</v>
      </c>
      <c r="T101" s="24">
        <f t="shared" ref="T101:AP101" ca="1" si="54">OFFSET(T$21,$BB101,$J$93)/OFFSET(S$21,$BB101,$J$93)*S101</f>
        <v>5.9658698119940805</v>
      </c>
      <c r="U101" s="24">
        <f t="shared" ca="1" si="54"/>
        <v>5.9566293444138143</v>
      </c>
      <c r="V101" s="24">
        <f t="shared" ca="1" si="54"/>
        <v>5.9461958469869298</v>
      </c>
      <c r="W101" s="24">
        <f t="shared" ca="1" si="54"/>
        <v>5.9345693197134297</v>
      </c>
      <c r="X101" s="24">
        <f t="shared" ca="1" si="54"/>
        <v>5.8998677378888367</v>
      </c>
      <c r="Y101" s="24">
        <f t="shared" ca="1" si="54"/>
        <v>5.8633627876739105</v>
      </c>
      <c r="Z101" s="24">
        <f t="shared" ca="1" si="54"/>
        <v>5.8250544690686521</v>
      </c>
      <c r="AA101" s="24">
        <f t="shared" ca="1" si="54"/>
        <v>5.7849427820730615</v>
      </c>
      <c r="AB101" s="24">
        <f t="shared" ca="1" si="54"/>
        <v>5.7430277266871395</v>
      </c>
      <c r="AC101" s="24">
        <f t="shared" ca="1" si="54"/>
        <v>5.7056292120735765</v>
      </c>
      <c r="AD101" s="24">
        <f t="shared" ca="1" si="54"/>
        <v>5.666633701297866</v>
      </c>
      <c r="AE101" s="24">
        <f t="shared" ca="1" si="54"/>
        <v>5.626041194360007</v>
      </c>
      <c r="AF101" s="24">
        <f t="shared" ca="1" si="54"/>
        <v>5.5838516912600014</v>
      </c>
      <c r="AG101" s="24">
        <f t="shared" ca="1" si="54"/>
        <v>5.5400651919978507</v>
      </c>
      <c r="AH101" s="24">
        <f t="shared" ca="1" si="54"/>
        <v>5.5045246950300646</v>
      </c>
      <c r="AI101" s="24">
        <f t="shared" ca="1" si="54"/>
        <v>5.4674666552210907</v>
      </c>
      <c r="AJ101" s="24">
        <f t="shared" ca="1" si="54"/>
        <v>5.4288910725709281</v>
      </c>
      <c r="AK101" s="24">
        <f t="shared" ca="1" si="54"/>
        <v>5.3887979470795786</v>
      </c>
      <c r="AL101" s="24">
        <f t="shared" ca="1" si="54"/>
        <v>5.3471872787470405</v>
      </c>
      <c r="AM101" s="24">
        <f t="shared" ca="1" si="54"/>
        <v>5.2112488407277482</v>
      </c>
      <c r="AN101" s="24">
        <f t="shared" ca="1" si="54"/>
        <v>5.1184892007004681</v>
      </c>
      <c r="AO101" s="24">
        <f t="shared" ca="1" si="54"/>
        <v>5.1184892007004681</v>
      </c>
      <c r="AP101" s="24">
        <f t="shared" ca="1" si="54"/>
        <v>5.1184892007004681</v>
      </c>
      <c r="AQ101" s="6"/>
      <c r="AR101" s="6"/>
      <c r="AS101" s="6"/>
      <c r="AT101" s="6"/>
      <c r="AU101" s="6"/>
      <c r="AV101" s="6"/>
      <c r="BB101" s="4">
        <f t="shared" si="51"/>
        <v>1</v>
      </c>
    </row>
    <row r="102" spans="1:54">
      <c r="A102" s="22" t="str">
        <f>'[6]TS BYDem'!A16</f>
        <v/>
      </c>
      <c r="B102" s="22" t="str">
        <f>'[6]TS BYDem'!B16</f>
        <v>COM_PROJ</v>
      </c>
      <c r="C102" s="22" t="str">
        <f>'[6]TS BYDem'!C16</f>
        <v>-</v>
      </c>
      <c r="D102" s="22" t="str">
        <f>'[6]TS BYDem'!D16</f>
        <v>RLER</v>
      </c>
      <c r="E102" s="132" t="s">
        <v>138</v>
      </c>
      <c r="F102" s="132" t="s">
        <v>138</v>
      </c>
      <c r="G102" s="132" t="s">
        <v>138</v>
      </c>
      <c r="H102" s="132" t="s">
        <v>138</v>
      </c>
      <c r="I102" s="132">
        <v>0</v>
      </c>
      <c r="J102" s="6">
        <f>'[6]TS BYDem'!J16</f>
        <v>1.2642587754949401</v>
      </c>
      <c r="K102" s="24">
        <f t="shared" si="47"/>
        <v>1.4308973056613448</v>
      </c>
      <c r="L102" s="24">
        <f t="shared" si="44"/>
        <v>1.5975358358277494</v>
      </c>
      <c r="M102" s="24">
        <f t="shared" si="44"/>
        <v>1.7641743659941542</v>
      </c>
      <c r="N102" s="24">
        <f t="shared" si="44"/>
        <v>1.9308128961605588</v>
      </c>
      <c r="O102" s="24">
        <f>'[6]TS BYDem'!O16</f>
        <v>2.0974514263269635</v>
      </c>
      <c r="P102" s="24">
        <f t="shared" ca="1" si="48"/>
        <v>2.0908792280642285</v>
      </c>
      <c r="Q102" s="24">
        <f t="shared" ca="1" si="48"/>
        <v>2.0837972634040511</v>
      </c>
      <c r="R102" s="24">
        <f t="shared" ca="1" si="48"/>
        <v>2.0762055323464317</v>
      </c>
      <c r="S102" s="24">
        <f t="shared" ca="1" si="48"/>
        <v>2.0738260468233736</v>
      </c>
      <c r="T102" s="24">
        <f t="shared" ref="T102:AP102" ca="1" si="55">OFFSET(T$21,$BB102,$J$93)/OFFSET(S$21,$BB102,$J$93)*S102</f>
        <v>2.0710324048486726</v>
      </c>
      <c r="U102" s="24">
        <f t="shared" ca="1" si="55"/>
        <v>2.0678246064223291</v>
      </c>
      <c r="V102" s="24">
        <f t="shared" ca="1" si="55"/>
        <v>2.0642026515443428</v>
      </c>
      <c r="W102" s="24">
        <f t="shared" ca="1" si="55"/>
        <v>2.0601665402147145</v>
      </c>
      <c r="X102" s="24">
        <f t="shared" ca="1" si="55"/>
        <v>2.0481199983485556</v>
      </c>
      <c r="Y102" s="24">
        <f t="shared" ca="1" si="55"/>
        <v>2.0354474229798298</v>
      </c>
      <c r="Z102" s="24">
        <f t="shared" ca="1" si="55"/>
        <v>2.022148814108538</v>
      </c>
      <c r="AA102" s="24">
        <f t="shared" ca="1" si="55"/>
        <v>2.0082241717346796</v>
      </c>
      <c r="AB102" s="24">
        <f t="shared" ca="1" si="55"/>
        <v>1.9936734958582552</v>
      </c>
      <c r="AC102" s="24">
        <f t="shared" ca="1" si="55"/>
        <v>1.9806907224993429</v>
      </c>
      <c r="AD102" s="24">
        <f t="shared" ca="1" si="55"/>
        <v>1.9671535570892369</v>
      </c>
      <c r="AE102" s="24">
        <f t="shared" ca="1" si="55"/>
        <v>1.9530619996279368</v>
      </c>
      <c r="AF102" s="24">
        <f t="shared" ca="1" si="55"/>
        <v>1.938416050115443</v>
      </c>
      <c r="AG102" s="24">
        <f t="shared" ca="1" si="55"/>
        <v>1.9232157085517567</v>
      </c>
      <c r="AH102" s="24">
        <f t="shared" ca="1" si="55"/>
        <v>1.9108779400076408</v>
      </c>
      <c r="AI102" s="24">
        <f t="shared" ca="1" si="55"/>
        <v>1.8980133613756602</v>
      </c>
      <c r="AJ102" s="24">
        <f t="shared" ca="1" si="55"/>
        <v>1.8846219726558147</v>
      </c>
      <c r="AK102" s="24">
        <f t="shared" ca="1" si="55"/>
        <v>1.8707037738481047</v>
      </c>
      <c r="AL102" s="24">
        <f t="shared" ca="1" si="55"/>
        <v>1.8562587649525297</v>
      </c>
      <c r="AM102" s="24">
        <f t="shared" ca="1" si="55"/>
        <v>1.8090681759731224</v>
      </c>
      <c r="AN102" s="24">
        <f t="shared" ca="1" si="55"/>
        <v>1.7768669670274679</v>
      </c>
      <c r="AO102" s="24">
        <f t="shared" ca="1" si="55"/>
        <v>1.7768669670274679</v>
      </c>
      <c r="AP102" s="24">
        <f t="shared" ca="1" si="55"/>
        <v>1.7768669670274679</v>
      </c>
      <c r="AQ102" s="6"/>
      <c r="AR102" s="6"/>
      <c r="AS102" s="6"/>
      <c r="AT102" s="6"/>
      <c r="AU102" s="6"/>
      <c r="AV102" s="6"/>
      <c r="BB102" s="4">
        <f t="shared" si="51"/>
        <v>1</v>
      </c>
    </row>
    <row r="103" spans="1:54">
      <c r="A103" s="22" t="str">
        <f>'[6]TS BYDem'!A17</f>
        <v/>
      </c>
      <c r="B103" s="22" t="str">
        <f>'[6]TS BYDem'!B17</f>
        <v>COM_PROJ</v>
      </c>
      <c r="C103" s="22" t="str">
        <f>'[6]TS BYDem'!C17</f>
        <v>-</v>
      </c>
      <c r="D103" s="22" t="str">
        <f>'[6]TS BYDem'!D17</f>
        <v>RLEO</v>
      </c>
      <c r="E103" s="132" t="s">
        <v>138</v>
      </c>
      <c r="F103" s="132" t="s">
        <v>138</v>
      </c>
      <c r="G103" s="132" t="s">
        <v>138</v>
      </c>
      <c r="H103" s="132" t="s">
        <v>138</v>
      </c>
      <c r="I103" s="132">
        <v>0</v>
      </c>
      <c r="J103" s="6">
        <f>'[6]TS BYDem'!J17</f>
        <v>1.7509162280520163</v>
      </c>
      <c r="K103" s="24">
        <f t="shared" si="47"/>
        <v>1.8325463231967081</v>
      </c>
      <c r="L103" s="24">
        <f t="shared" si="44"/>
        <v>1.9141764183413998</v>
      </c>
      <c r="M103" s="24">
        <f t="shared" si="44"/>
        <v>1.9958065134860918</v>
      </c>
      <c r="N103" s="24">
        <f t="shared" si="44"/>
        <v>2.0774366086307836</v>
      </c>
      <c r="O103" s="24">
        <f>'[6]TS BYDem'!O17</f>
        <v>2.1590667037754754</v>
      </c>
      <c r="P103" s="24">
        <f t="shared" ca="1" si="48"/>
        <v>2.1523014389109005</v>
      </c>
      <c r="Q103" s="24">
        <f t="shared" ca="1" si="48"/>
        <v>2.1450114326188934</v>
      </c>
      <c r="R103" s="24">
        <f t="shared" ca="1" si="48"/>
        <v>2.1371966848994535</v>
      </c>
      <c r="S103" s="24">
        <f t="shared" ca="1" si="48"/>
        <v>2.1347472989921252</v>
      </c>
      <c r="T103" s="24">
        <f t="shared" ref="T103:AP103" ca="1" si="56">OFFSET(T$21,$BB103,$J$93)/OFFSET(S$21,$BB103,$J$93)*S103</f>
        <v>2.1318715902657455</v>
      </c>
      <c r="U103" s="24">
        <f t="shared" ca="1" si="56"/>
        <v>2.1285695587203142</v>
      </c>
      <c r="V103" s="24">
        <f t="shared" ca="1" si="56"/>
        <v>2.1248412043558309</v>
      </c>
      <c r="W103" s="24">
        <f t="shared" ca="1" si="56"/>
        <v>2.120686527172297</v>
      </c>
      <c r="X103" s="24">
        <f t="shared" ca="1" si="56"/>
        <v>2.1082861029658551</v>
      </c>
      <c r="Y103" s="24">
        <f t="shared" ca="1" si="56"/>
        <v>2.0952412547342014</v>
      </c>
      <c r="Z103" s="24">
        <f t="shared" ca="1" si="56"/>
        <v>2.0815519824773365</v>
      </c>
      <c r="AA103" s="24">
        <f t="shared" ca="1" si="56"/>
        <v>2.0672182861952604</v>
      </c>
      <c r="AB103" s="24">
        <f t="shared" ca="1" si="56"/>
        <v>2.052240165887973</v>
      </c>
      <c r="AC103" s="24">
        <f t="shared" ca="1" si="56"/>
        <v>2.0388760072094678</v>
      </c>
      <c r="AD103" s="24">
        <f t="shared" ca="1" si="56"/>
        <v>2.0249411705149925</v>
      </c>
      <c r="AE103" s="24">
        <f t="shared" ca="1" si="56"/>
        <v>2.0104356558045464</v>
      </c>
      <c r="AF103" s="24">
        <f t="shared" ca="1" si="56"/>
        <v>1.9953594630781302</v>
      </c>
      <c r="AG103" s="24">
        <f t="shared" ca="1" si="56"/>
        <v>1.9797125923357448</v>
      </c>
      <c r="AH103" s="24">
        <f t="shared" ca="1" si="56"/>
        <v>1.9670123863008726</v>
      </c>
      <c r="AI103" s="24">
        <f t="shared" ca="1" si="56"/>
        <v>1.9537698944682722</v>
      </c>
      <c r="AJ103" s="24">
        <f t="shared" ca="1" si="56"/>
        <v>1.9399851168379434</v>
      </c>
      <c r="AK103" s="24">
        <f t="shared" ca="1" si="56"/>
        <v>1.9256580534098868</v>
      </c>
      <c r="AL103" s="24">
        <f t="shared" ca="1" si="56"/>
        <v>1.9107887041841018</v>
      </c>
      <c r="AM103" s="24">
        <f t="shared" ca="1" si="56"/>
        <v>1.8622118322155257</v>
      </c>
      <c r="AN103" s="24">
        <f t="shared" ca="1" si="56"/>
        <v>1.8290646721987474</v>
      </c>
      <c r="AO103" s="24">
        <f t="shared" ca="1" si="56"/>
        <v>1.8290646721987474</v>
      </c>
      <c r="AP103" s="24">
        <f t="shared" ca="1" si="56"/>
        <v>1.8290646721987474</v>
      </c>
      <c r="AQ103" s="6"/>
      <c r="AR103" s="6"/>
      <c r="AS103" s="6"/>
      <c r="AT103" s="6"/>
      <c r="AU103" s="6"/>
      <c r="AV103" s="6"/>
      <c r="BB103" s="4">
        <f t="shared" si="51"/>
        <v>1</v>
      </c>
    </row>
    <row r="104" spans="1:54">
      <c r="A104" s="22" t="str">
        <f>'[6]TS BYDem'!A18</f>
        <v>*</v>
      </c>
      <c r="B104" s="22" t="str">
        <f>'[6]TS BYDem'!B18</f>
        <v>COM_PROJ</v>
      </c>
      <c r="C104" s="22" t="str">
        <f>'[6]TS BYDem'!C18</f>
        <v>-</v>
      </c>
      <c r="D104" s="22">
        <f>'[6]TS BYDem'!D18</f>
        <v>0</v>
      </c>
      <c r="E104" s="132" t="s">
        <v>138</v>
      </c>
      <c r="F104" s="132" t="s">
        <v>138</v>
      </c>
      <c r="G104" s="132" t="s">
        <v>138</v>
      </c>
      <c r="H104" s="132" t="s">
        <v>138</v>
      </c>
      <c r="I104" s="132">
        <v>0</v>
      </c>
      <c r="J104" s="6">
        <f>'[6]TS BYDem'!J18</f>
        <v>0</v>
      </c>
      <c r="K104" s="24">
        <f t="shared" si="47"/>
        <v>0</v>
      </c>
      <c r="L104" s="24">
        <f t="shared" si="44"/>
        <v>0</v>
      </c>
      <c r="M104" s="24">
        <f t="shared" si="44"/>
        <v>0</v>
      </c>
      <c r="N104" s="24">
        <f t="shared" si="44"/>
        <v>0</v>
      </c>
      <c r="O104" s="24">
        <f>'[6]TS BYDem'!O18</f>
        <v>0</v>
      </c>
      <c r="P104" s="24" t="e">
        <f t="shared" ref="P104:AP104" ca="1" si="57">OFFSET(P$33,$BB104,$J$93)/OFFSET(O$33,$BB104,$J$93)*O104</f>
        <v>#N/A</v>
      </c>
      <c r="Q104" s="24" t="e">
        <f t="shared" ca="1" si="57"/>
        <v>#N/A</v>
      </c>
      <c r="R104" s="24" t="e">
        <f t="shared" ca="1" si="57"/>
        <v>#N/A</v>
      </c>
      <c r="S104" s="24" t="e">
        <f t="shared" ca="1" si="57"/>
        <v>#N/A</v>
      </c>
      <c r="T104" s="24" t="e">
        <f t="shared" ca="1" si="57"/>
        <v>#N/A</v>
      </c>
      <c r="U104" s="24" t="e">
        <f t="shared" ca="1" si="57"/>
        <v>#N/A</v>
      </c>
      <c r="V104" s="24" t="e">
        <f t="shared" ca="1" si="57"/>
        <v>#N/A</v>
      </c>
      <c r="W104" s="24" t="e">
        <f t="shared" ca="1" si="57"/>
        <v>#N/A</v>
      </c>
      <c r="X104" s="24" t="e">
        <f t="shared" ca="1" si="57"/>
        <v>#N/A</v>
      </c>
      <c r="Y104" s="24" t="e">
        <f t="shared" ca="1" si="57"/>
        <v>#N/A</v>
      </c>
      <c r="Z104" s="24" t="e">
        <f t="shared" ca="1" si="57"/>
        <v>#N/A</v>
      </c>
      <c r="AA104" s="24" t="e">
        <f t="shared" ca="1" si="57"/>
        <v>#N/A</v>
      </c>
      <c r="AB104" s="24" t="e">
        <f t="shared" ca="1" si="57"/>
        <v>#N/A</v>
      </c>
      <c r="AC104" s="24" t="e">
        <f t="shared" ca="1" si="57"/>
        <v>#N/A</v>
      </c>
      <c r="AD104" s="24" t="e">
        <f t="shared" ca="1" si="57"/>
        <v>#N/A</v>
      </c>
      <c r="AE104" s="24" t="e">
        <f t="shared" ca="1" si="57"/>
        <v>#N/A</v>
      </c>
      <c r="AF104" s="24" t="e">
        <f t="shared" ca="1" si="57"/>
        <v>#N/A</v>
      </c>
      <c r="AG104" s="24" t="e">
        <f t="shared" ca="1" si="57"/>
        <v>#N/A</v>
      </c>
      <c r="AH104" s="24" t="e">
        <f t="shared" ca="1" si="57"/>
        <v>#N/A</v>
      </c>
      <c r="AI104" s="24" t="e">
        <f t="shared" ca="1" si="57"/>
        <v>#N/A</v>
      </c>
      <c r="AJ104" s="24" t="e">
        <f t="shared" ca="1" si="57"/>
        <v>#N/A</v>
      </c>
      <c r="AK104" s="24" t="e">
        <f t="shared" ca="1" si="57"/>
        <v>#N/A</v>
      </c>
      <c r="AL104" s="24" t="e">
        <f t="shared" ca="1" si="57"/>
        <v>#N/A</v>
      </c>
      <c r="AM104" s="24" t="e">
        <f t="shared" ca="1" si="57"/>
        <v>#N/A</v>
      </c>
      <c r="AN104" s="24" t="e">
        <f t="shared" ca="1" si="57"/>
        <v>#N/A</v>
      </c>
      <c r="AO104" s="24" t="e">
        <f t="shared" ca="1" si="57"/>
        <v>#N/A</v>
      </c>
      <c r="AP104" s="24" t="e">
        <f t="shared" ca="1" si="57"/>
        <v>#N/A</v>
      </c>
      <c r="AQ104" s="6"/>
      <c r="AR104" s="6"/>
      <c r="AS104" s="6"/>
      <c r="AT104" s="6"/>
      <c r="AU104" s="6"/>
      <c r="AV104" s="6"/>
      <c r="BB104" s="4" t="e">
        <f t="shared" si="51"/>
        <v>#N/A</v>
      </c>
    </row>
    <row r="105" spans="1:54">
      <c r="A105" s="22" t="str">
        <f>'[6]TS BYDem'!A19</f>
        <v>*</v>
      </c>
      <c r="B105" s="22" t="str">
        <f>'[6]TS BYDem'!B19</f>
        <v>COM_PROJ</v>
      </c>
      <c r="C105" s="22" t="str">
        <f>'[6]TS BYDem'!C19</f>
        <v>-</v>
      </c>
      <c r="D105" s="22">
        <f>'[6]TS BYDem'!D19</f>
        <v>0</v>
      </c>
      <c r="E105" s="132" t="s">
        <v>138</v>
      </c>
      <c r="F105" s="132" t="s">
        <v>138</v>
      </c>
      <c r="G105" s="132" t="s">
        <v>138</v>
      </c>
      <c r="H105" s="132" t="s">
        <v>138</v>
      </c>
      <c r="I105" s="132">
        <v>0</v>
      </c>
      <c r="J105" s="6">
        <f>'[6]TS BYDem'!J19</f>
        <v>0</v>
      </c>
      <c r="K105" s="24">
        <f t="shared" si="47"/>
        <v>0</v>
      </c>
      <c r="L105" s="24">
        <f t="shared" si="44"/>
        <v>0</v>
      </c>
      <c r="M105" s="24">
        <f t="shared" si="44"/>
        <v>0</v>
      </c>
      <c r="N105" s="24">
        <f t="shared" si="44"/>
        <v>0</v>
      </c>
      <c r="O105" s="24">
        <f>'[6]TS BYDem'!O19</f>
        <v>0</v>
      </c>
      <c r="P105" s="24" t="e">
        <f t="shared" ref="P105:AP105" ca="1" si="58">OFFSET(P$33,$BB105,$J$93)/OFFSET(O$33,$BB105,$J$93)*O105</f>
        <v>#N/A</v>
      </c>
      <c r="Q105" s="24" t="e">
        <f t="shared" ca="1" si="58"/>
        <v>#N/A</v>
      </c>
      <c r="R105" s="24" t="e">
        <f t="shared" ca="1" si="58"/>
        <v>#N/A</v>
      </c>
      <c r="S105" s="24" t="e">
        <f t="shared" ca="1" si="58"/>
        <v>#N/A</v>
      </c>
      <c r="T105" s="24" t="e">
        <f t="shared" ca="1" si="58"/>
        <v>#N/A</v>
      </c>
      <c r="U105" s="24" t="e">
        <f t="shared" ca="1" si="58"/>
        <v>#N/A</v>
      </c>
      <c r="V105" s="24" t="e">
        <f t="shared" ca="1" si="58"/>
        <v>#N/A</v>
      </c>
      <c r="W105" s="24" t="e">
        <f t="shared" ca="1" si="58"/>
        <v>#N/A</v>
      </c>
      <c r="X105" s="24" t="e">
        <f t="shared" ca="1" si="58"/>
        <v>#N/A</v>
      </c>
      <c r="Y105" s="24" t="e">
        <f t="shared" ca="1" si="58"/>
        <v>#N/A</v>
      </c>
      <c r="Z105" s="24" t="e">
        <f t="shared" ca="1" si="58"/>
        <v>#N/A</v>
      </c>
      <c r="AA105" s="24" t="e">
        <f t="shared" ca="1" si="58"/>
        <v>#N/A</v>
      </c>
      <c r="AB105" s="24" t="e">
        <f t="shared" ca="1" si="58"/>
        <v>#N/A</v>
      </c>
      <c r="AC105" s="24" t="e">
        <f t="shared" ca="1" si="58"/>
        <v>#N/A</v>
      </c>
      <c r="AD105" s="24" t="e">
        <f t="shared" ca="1" si="58"/>
        <v>#N/A</v>
      </c>
      <c r="AE105" s="24" t="e">
        <f t="shared" ca="1" si="58"/>
        <v>#N/A</v>
      </c>
      <c r="AF105" s="24" t="e">
        <f t="shared" ca="1" si="58"/>
        <v>#N/A</v>
      </c>
      <c r="AG105" s="24" t="e">
        <f t="shared" ca="1" si="58"/>
        <v>#N/A</v>
      </c>
      <c r="AH105" s="24" t="e">
        <f t="shared" ca="1" si="58"/>
        <v>#N/A</v>
      </c>
      <c r="AI105" s="24" t="e">
        <f t="shared" ca="1" si="58"/>
        <v>#N/A</v>
      </c>
      <c r="AJ105" s="24" t="e">
        <f t="shared" ca="1" si="58"/>
        <v>#N/A</v>
      </c>
      <c r="AK105" s="24" t="e">
        <f t="shared" ca="1" si="58"/>
        <v>#N/A</v>
      </c>
      <c r="AL105" s="24" t="e">
        <f t="shared" ca="1" si="58"/>
        <v>#N/A</v>
      </c>
      <c r="AM105" s="24" t="e">
        <f t="shared" ca="1" si="58"/>
        <v>#N/A</v>
      </c>
      <c r="AN105" s="24" t="e">
        <f t="shared" ca="1" si="58"/>
        <v>#N/A</v>
      </c>
      <c r="AO105" s="24" t="e">
        <f t="shared" ca="1" si="58"/>
        <v>#N/A</v>
      </c>
      <c r="AP105" s="24" t="e">
        <f t="shared" ca="1" si="58"/>
        <v>#N/A</v>
      </c>
      <c r="AQ105" s="6"/>
      <c r="AR105" s="6"/>
      <c r="AS105" s="6"/>
      <c r="AT105" s="6"/>
      <c r="AU105" s="6"/>
      <c r="AV105" s="6"/>
      <c r="BB105" s="4" t="e">
        <f t="shared" si="51"/>
        <v>#N/A</v>
      </c>
    </row>
    <row r="106" spans="1:54">
      <c r="A106" s="22" t="str">
        <f>'[6]TS BYDem'!A20</f>
        <v>*</v>
      </c>
      <c r="B106" s="22" t="str">
        <f>'[6]TS BYDem'!B20</f>
        <v>COM_PROJ</v>
      </c>
      <c r="C106" s="22" t="str">
        <f>'[6]TS BYDem'!C20</f>
        <v>-</v>
      </c>
      <c r="D106" s="22">
        <f>'[6]TS BYDem'!D20</f>
        <v>0</v>
      </c>
      <c r="E106" s="132" t="s">
        <v>138</v>
      </c>
      <c r="F106" s="132" t="s">
        <v>138</v>
      </c>
      <c r="G106" s="132" t="s">
        <v>138</v>
      </c>
      <c r="H106" s="132" t="s">
        <v>138</v>
      </c>
      <c r="I106" s="132">
        <v>0</v>
      </c>
      <c r="J106" s="6">
        <f>'[6]TS BYDem'!J20</f>
        <v>0</v>
      </c>
      <c r="K106" s="24">
        <f t="shared" si="47"/>
        <v>0</v>
      </c>
      <c r="L106" s="24">
        <f t="shared" si="44"/>
        <v>0</v>
      </c>
      <c r="M106" s="24">
        <f t="shared" si="44"/>
        <v>0</v>
      </c>
      <c r="N106" s="24">
        <f t="shared" si="44"/>
        <v>0</v>
      </c>
      <c r="O106" s="24">
        <f>'[6]TS BYDem'!O20</f>
        <v>0</v>
      </c>
      <c r="P106" s="24" t="e">
        <f t="shared" ref="P106:AP106" ca="1" si="59">OFFSET(P$33,$BB106,$J$93)/OFFSET(O$33,$BB106,$J$93)*O106</f>
        <v>#N/A</v>
      </c>
      <c r="Q106" s="24" t="e">
        <f t="shared" ca="1" si="59"/>
        <v>#N/A</v>
      </c>
      <c r="R106" s="24" t="e">
        <f t="shared" ca="1" si="59"/>
        <v>#N/A</v>
      </c>
      <c r="S106" s="24" t="e">
        <f t="shared" ca="1" si="59"/>
        <v>#N/A</v>
      </c>
      <c r="T106" s="24" t="e">
        <f t="shared" ca="1" si="59"/>
        <v>#N/A</v>
      </c>
      <c r="U106" s="24" t="e">
        <f t="shared" ca="1" si="59"/>
        <v>#N/A</v>
      </c>
      <c r="V106" s="24" t="e">
        <f t="shared" ca="1" si="59"/>
        <v>#N/A</v>
      </c>
      <c r="W106" s="24" t="e">
        <f t="shared" ca="1" si="59"/>
        <v>#N/A</v>
      </c>
      <c r="X106" s="24" t="e">
        <f t="shared" ca="1" si="59"/>
        <v>#N/A</v>
      </c>
      <c r="Y106" s="24" t="e">
        <f t="shared" ca="1" si="59"/>
        <v>#N/A</v>
      </c>
      <c r="Z106" s="24" t="e">
        <f t="shared" ca="1" si="59"/>
        <v>#N/A</v>
      </c>
      <c r="AA106" s="24" t="e">
        <f t="shared" ca="1" si="59"/>
        <v>#N/A</v>
      </c>
      <c r="AB106" s="24" t="e">
        <f t="shared" ca="1" si="59"/>
        <v>#N/A</v>
      </c>
      <c r="AC106" s="24" t="e">
        <f t="shared" ca="1" si="59"/>
        <v>#N/A</v>
      </c>
      <c r="AD106" s="24" t="e">
        <f t="shared" ca="1" si="59"/>
        <v>#N/A</v>
      </c>
      <c r="AE106" s="24" t="e">
        <f t="shared" ca="1" si="59"/>
        <v>#N/A</v>
      </c>
      <c r="AF106" s="24" t="e">
        <f t="shared" ca="1" si="59"/>
        <v>#N/A</v>
      </c>
      <c r="AG106" s="24" t="e">
        <f t="shared" ca="1" si="59"/>
        <v>#N/A</v>
      </c>
      <c r="AH106" s="24" t="e">
        <f t="shared" ca="1" si="59"/>
        <v>#N/A</v>
      </c>
      <c r="AI106" s="24" t="e">
        <f t="shared" ca="1" si="59"/>
        <v>#N/A</v>
      </c>
      <c r="AJ106" s="24" t="e">
        <f t="shared" ca="1" si="59"/>
        <v>#N/A</v>
      </c>
      <c r="AK106" s="24" t="e">
        <f t="shared" ca="1" si="59"/>
        <v>#N/A</v>
      </c>
      <c r="AL106" s="24" t="e">
        <f t="shared" ca="1" si="59"/>
        <v>#N/A</v>
      </c>
      <c r="AM106" s="24" t="e">
        <f t="shared" ca="1" si="59"/>
        <v>#N/A</v>
      </c>
      <c r="AN106" s="24" t="e">
        <f t="shared" ca="1" si="59"/>
        <v>#N/A</v>
      </c>
      <c r="AO106" s="24" t="e">
        <f t="shared" ca="1" si="59"/>
        <v>#N/A</v>
      </c>
      <c r="AP106" s="24" t="e">
        <f t="shared" ca="1" si="59"/>
        <v>#N/A</v>
      </c>
      <c r="AQ106" s="6"/>
      <c r="AR106" s="6"/>
      <c r="AS106" s="6"/>
      <c r="AT106" s="6"/>
      <c r="AU106" s="6"/>
      <c r="AV106" s="6"/>
      <c r="BB106" s="4" t="e">
        <f t="shared" si="51"/>
        <v>#N/A</v>
      </c>
    </row>
    <row r="107" spans="1:54">
      <c r="A107" s="22" t="str">
        <f>'[6]TS BYDem'!A21</f>
        <v/>
      </c>
      <c r="B107" s="22" t="str">
        <f>'[6]TS BYDem'!B21</f>
        <v>COM_PROJ</v>
      </c>
      <c r="C107" s="22" t="str">
        <f>'[6]TS BYDem'!C21</f>
        <v>-</v>
      </c>
      <c r="D107" s="22" t="str">
        <f>'[6]TS BYDem'!D21</f>
        <v>RMEL</v>
      </c>
      <c r="E107" s="132" t="s">
        <v>138</v>
      </c>
      <c r="F107" s="132" t="s">
        <v>138</v>
      </c>
      <c r="G107" s="132" t="s">
        <v>138</v>
      </c>
      <c r="H107" s="132" t="s">
        <v>138</v>
      </c>
      <c r="I107" s="132">
        <v>0</v>
      </c>
      <c r="J107" s="6">
        <f>'[6]TS BYDem'!J21</f>
        <v>16.038929939348595</v>
      </c>
      <c r="K107" s="24">
        <f t="shared" si="47"/>
        <v>17.205067118497315</v>
      </c>
      <c r="L107" s="24">
        <f t="shared" si="44"/>
        <v>18.371204297646038</v>
      </c>
      <c r="M107" s="24">
        <f t="shared" si="44"/>
        <v>19.537341476794758</v>
      </c>
      <c r="N107" s="24">
        <f t="shared" si="44"/>
        <v>20.703478655943478</v>
      </c>
      <c r="O107" s="24">
        <f>'[6]TS BYDem'!O21</f>
        <v>21.869615835092201</v>
      </c>
      <c r="P107" s="24">
        <f t="shared" ref="P107:AP107" ca="1" si="60">OFFSET(P$33,$BB107,$J$93)/OFFSET(O$33,$BB107,$J$93)*O107</f>
        <v>22.398167586894601</v>
      </c>
      <c r="Q107" s="24">
        <f t="shared" ca="1" si="60"/>
        <v>22.9347253540334</v>
      </c>
      <c r="R107" s="24">
        <f t="shared" ca="1" si="60"/>
        <v>23.479344148095688</v>
      </c>
      <c r="S107" s="24">
        <f t="shared" ca="1" si="60"/>
        <v>23.962289754086946</v>
      </c>
      <c r="T107" s="24">
        <f t="shared" ca="1" si="60"/>
        <v>24.451561218744764</v>
      </c>
      <c r="U107" s="24">
        <f t="shared" ca="1" si="60"/>
        <v>24.947198609837496</v>
      </c>
      <c r="V107" s="24">
        <f t="shared" ca="1" si="60"/>
        <v>25.449241995133484</v>
      </c>
      <c r="W107" s="24">
        <f t="shared" ca="1" si="60"/>
        <v>25.95773144240108</v>
      </c>
      <c r="X107" s="24">
        <f t="shared" ca="1" si="60"/>
        <v>26.488676270173116</v>
      </c>
      <c r="Y107" s="24">
        <f t="shared" ca="1" si="60"/>
        <v>27.026452566553747</v>
      </c>
      <c r="Z107" s="24">
        <f t="shared" ca="1" si="60"/>
        <v>27.57110254196467</v>
      </c>
      <c r="AA107" s="24">
        <f t="shared" ca="1" si="60"/>
        <v>28.122668406827614</v>
      </c>
      <c r="AB107" s="24">
        <f t="shared" ca="1" si="60"/>
        <v>28.681192371564283</v>
      </c>
      <c r="AC107" s="24">
        <f t="shared" ca="1" si="60"/>
        <v>29.088355755609999</v>
      </c>
      <c r="AD107" s="24">
        <f t="shared" ca="1" si="60"/>
        <v>29.498171643862968</v>
      </c>
      <c r="AE107" s="24">
        <f t="shared" ca="1" si="60"/>
        <v>29.910640036323173</v>
      </c>
      <c r="AF107" s="24">
        <f t="shared" ca="1" si="60"/>
        <v>30.325760932990615</v>
      </c>
      <c r="AG107" s="24">
        <f t="shared" ca="1" si="60"/>
        <v>30.743534333865298</v>
      </c>
      <c r="AH107" s="24">
        <f t="shared" ca="1" si="60"/>
        <v>31.180070635571969</v>
      </c>
      <c r="AI107" s="24">
        <f t="shared" ca="1" si="60"/>
        <v>31.619463694025146</v>
      </c>
      <c r="AJ107" s="24">
        <f t="shared" ca="1" si="60"/>
        <v>32.06171350922483</v>
      </c>
      <c r="AK107" s="24">
        <f t="shared" ca="1" si="60"/>
        <v>32.506820081171021</v>
      </c>
      <c r="AL107" s="24">
        <f t="shared" ca="1" si="60"/>
        <v>32.954783409863708</v>
      </c>
      <c r="AM107" s="24">
        <f t="shared" ca="1" si="60"/>
        <v>36.0763762769556</v>
      </c>
      <c r="AN107" s="24">
        <f t="shared" ca="1" si="60"/>
        <v>39.362701068608168</v>
      </c>
      <c r="AO107" s="24">
        <f t="shared" ca="1" si="60"/>
        <v>39.362701068608168</v>
      </c>
      <c r="AP107" s="24">
        <f t="shared" ca="1" si="60"/>
        <v>39.362701068608168</v>
      </c>
      <c r="AQ107" s="6"/>
      <c r="AR107" s="6"/>
      <c r="AS107" s="228"/>
      <c r="AT107" s="228"/>
      <c r="AU107" s="6"/>
      <c r="AV107" s="6"/>
      <c r="BB107" s="4">
        <f t="shared" si="51"/>
        <v>2</v>
      </c>
    </row>
    <row r="108" spans="1:54">
      <c r="A108" s="22" t="str">
        <f>'[6]TS BYDem'!A22</f>
        <v/>
      </c>
      <c r="B108" s="22" t="str">
        <f>'[6]TS BYDem'!B22</f>
        <v>COM_PROJ</v>
      </c>
      <c r="C108" s="22" t="str">
        <f>'[6]TS BYDem'!C22</f>
        <v>-</v>
      </c>
      <c r="D108" s="22" t="str">
        <f>'[6]TS BYDem'!D22</f>
        <v>RMNL</v>
      </c>
      <c r="E108" s="132" t="s">
        <v>138</v>
      </c>
      <c r="F108" s="132" t="s">
        <v>138</v>
      </c>
      <c r="G108" s="132" t="s">
        <v>138</v>
      </c>
      <c r="H108" s="132" t="s">
        <v>138</v>
      </c>
      <c r="I108" s="132">
        <v>0</v>
      </c>
      <c r="J108" s="6">
        <f>'[6]TS BYDem'!J22</f>
        <v>3.3422499241462768E-2</v>
      </c>
      <c r="K108" s="24">
        <f t="shared" si="47"/>
        <v>4.1310307072706193E-2</v>
      </c>
      <c r="L108" s="24">
        <f t="shared" si="44"/>
        <v>4.9198114903949625E-2</v>
      </c>
      <c r="M108" s="24">
        <f t="shared" si="44"/>
        <v>5.7085922735193056E-2</v>
      </c>
      <c r="N108" s="24">
        <f t="shared" si="44"/>
        <v>6.4973730566436488E-2</v>
      </c>
      <c r="O108" s="24">
        <f>'[6]TS BYDem'!O22</f>
        <v>7.2861538397679906E-2</v>
      </c>
      <c r="P108" s="24">
        <f t="shared" ref="P108:AO108" ca="1" si="61">IF($E$78=1, P88, P82)</f>
        <v>6.1364994279431657E-2</v>
      </c>
      <c r="Q108" s="24">
        <f t="shared" ca="1" si="61"/>
        <v>6.2835019190323138E-2</v>
      </c>
      <c r="R108" s="24">
        <f t="shared" ca="1" si="61"/>
        <v>6.4327129161036001E-2</v>
      </c>
      <c r="S108" s="24">
        <f t="shared" ca="1" si="61"/>
        <v>6.5650271075835792E-2</v>
      </c>
      <c r="T108" s="24">
        <f t="shared" ca="1" si="61"/>
        <v>6.699074415307911E-2</v>
      </c>
      <c r="U108" s="24">
        <f t="shared" ca="1" si="61"/>
        <v>6.8348658167744922E-2</v>
      </c>
      <c r="V108" s="24">
        <f t="shared" ca="1" si="61"/>
        <v>6.9724122894812182E-2</v>
      </c>
      <c r="W108" s="24">
        <f t="shared" ca="1" si="61"/>
        <v>7.1117248109259845E-2</v>
      </c>
      <c r="X108" s="24">
        <f t="shared" ca="1" si="61"/>
        <v>7.2571895066093434E-2</v>
      </c>
      <c r="Y108" s="24">
        <f t="shared" ca="1" si="61"/>
        <v>7.404525842151008E-2</v>
      </c>
      <c r="Z108" s="24">
        <f t="shared" ca="1" si="61"/>
        <v>7.5537453820786388E-2</v>
      </c>
      <c r="AA108" s="24">
        <f t="shared" ca="1" si="61"/>
        <v>7.704859690919906E-2</v>
      </c>
      <c r="AB108" s="24">
        <f t="shared" ca="1" si="61"/>
        <v>7.8578803332024688E-2</v>
      </c>
      <c r="AC108" s="24">
        <f t="shared" ca="1" si="61"/>
        <v>7.9694322208103588E-2</v>
      </c>
      <c r="AD108" s="24">
        <f t="shared" ca="1" si="61"/>
        <v>8.0817108236947224E-2</v>
      </c>
      <c r="AE108" s="24">
        <f t="shared" ca="1" si="61"/>
        <v>8.1947161418555556E-2</v>
      </c>
      <c r="AF108" s="24">
        <f t="shared" ca="1" si="61"/>
        <v>8.3084481752928596E-2</v>
      </c>
      <c r="AG108" s="24">
        <f t="shared" ca="1" si="61"/>
        <v>8.4229069240066332E-2</v>
      </c>
      <c r="AH108" s="24">
        <f t="shared" ca="1" si="61"/>
        <v>8.5425062061937534E-2</v>
      </c>
      <c r="AI108" s="24">
        <f t="shared" ca="1" si="61"/>
        <v>8.6628881633953672E-2</v>
      </c>
      <c r="AJ108" s="24">
        <f t="shared" ca="1" si="61"/>
        <v>8.7840527956114758E-2</v>
      </c>
      <c r="AK108" s="24">
        <f t="shared" ca="1" si="61"/>
        <v>8.9060001028420779E-2</v>
      </c>
      <c r="AL108" s="24">
        <f t="shared" ca="1" si="61"/>
        <v>9.0287300850871707E-2</v>
      </c>
      <c r="AM108" s="24">
        <f t="shared" ca="1" si="61"/>
        <v>9.8839631200604877E-2</v>
      </c>
      <c r="AN108" s="24">
        <f t="shared" ca="1" si="61"/>
        <v>0.10784328300639415</v>
      </c>
      <c r="AO108" s="24">
        <f t="shared" ca="1" si="61"/>
        <v>0.10784328300639415</v>
      </c>
      <c r="AP108" s="24">
        <f ca="1">IF($E$78=1, AP88, AP82)</f>
        <v>0.10784328300639415</v>
      </c>
      <c r="AQ108" s="6"/>
      <c r="AR108" s="6"/>
      <c r="AS108" s="228"/>
      <c r="AT108" s="228"/>
      <c r="AU108" s="6"/>
      <c r="AV108" s="6"/>
      <c r="BB108" s="257">
        <v>2</v>
      </c>
    </row>
    <row r="109" spans="1:54">
      <c r="A109" s="22" t="str">
        <f>'[6]TS BYDem'!A23</f>
        <v/>
      </c>
      <c r="B109" s="22" t="str">
        <f>'[6]TS BYDem'!B23</f>
        <v>COM_PROJ</v>
      </c>
      <c r="C109" s="22" t="str">
        <f>'[6]TS BYDem'!C23</f>
        <v>-</v>
      </c>
      <c r="D109" s="22" t="str">
        <f>'[6]TS BYDem'!D23</f>
        <v>RMEK</v>
      </c>
      <c r="E109" s="132" t="s">
        <v>138</v>
      </c>
      <c r="F109" s="132" t="s">
        <v>138</v>
      </c>
      <c r="G109" s="132" t="s">
        <v>138</v>
      </c>
      <c r="H109" s="132" t="s">
        <v>138</v>
      </c>
      <c r="I109" s="132">
        <v>0</v>
      </c>
      <c r="J109" s="6">
        <f>'[6]TS BYDem'!J23</f>
        <v>9.0435120774465076</v>
      </c>
      <c r="K109" s="24">
        <f t="shared" si="47"/>
        <v>8.9522489563431584</v>
      </c>
      <c r="L109" s="24">
        <f t="shared" si="44"/>
        <v>8.8609858352398092</v>
      </c>
      <c r="M109" s="24">
        <f t="shared" si="44"/>
        <v>8.7697227141364582</v>
      </c>
      <c r="N109" s="24">
        <f t="shared" si="44"/>
        <v>8.678459593033109</v>
      </c>
      <c r="O109" s="24">
        <f>'[6]TS BYDem'!O23</f>
        <v>8.5871964719297598</v>
      </c>
      <c r="P109" s="24">
        <f t="shared" ref="P109:AP109" ca="1" si="62">OFFSET(P$33,$BB109,$J$93)/OFFSET(O$33,$BB109,$J$93)*O109</f>
        <v>8.7947345362713794</v>
      </c>
      <c r="Q109" s="24">
        <f t="shared" ca="1" si="62"/>
        <v>9.0054161961461503</v>
      </c>
      <c r="R109" s="24">
        <f t="shared" ca="1" si="62"/>
        <v>9.2192630520846972</v>
      </c>
      <c r="S109" s="24">
        <f t="shared" ca="1" si="62"/>
        <v>9.408893671807224</v>
      </c>
      <c r="T109" s="24">
        <f t="shared" ca="1" si="62"/>
        <v>9.6010081664927593</v>
      </c>
      <c r="U109" s="24">
        <f t="shared" ca="1" si="62"/>
        <v>9.7956222689187626</v>
      </c>
      <c r="V109" s="24">
        <f t="shared" ca="1" si="62"/>
        <v>9.9927517118626881</v>
      </c>
      <c r="W109" s="24">
        <f t="shared" ca="1" si="62"/>
        <v>10.192412228101993</v>
      </c>
      <c r="X109" s="24">
        <f t="shared" ca="1" si="62"/>
        <v>10.40088994376984</v>
      </c>
      <c r="Y109" s="24">
        <f t="shared" ca="1" si="62"/>
        <v>10.612050064267116</v>
      </c>
      <c r="Z109" s="24">
        <f t="shared" ca="1" si="62"/>
        <v>10.825909163693112</v>
      </c>
      <c r="AA109" s="24">
        <f t="shared" ca="1" si="62"/>
        <v>11.042483816147129</v>
      </c>
      <c r="AB109" s="24">
        <f t="shared" ca="1" si="62"/>
        <v>11.26179059572846</v>
      </c>
      <c r="AC109" s="24">
        <f t="shared" ca="1" si="62"/>
        <v>11.42166500785078</v>
      </c>
      <c r="AD109" s="24">
        <f t="shared" ca="1" si="62"/>
        <v>11.582580936885975</v>
      </c>
      <c r="AE109" s="24">
        <f t="shared" ca="1" si="62"/>
        <v>11.744538382834037</v>
      </c>
      <c r="AF109" s="24">
        <f t="shared" ca="1" si="62"/>
        <v>11.907537345694967</v>
      </c>
      <c r="AG109" s="24">
        <f t="shared" ca="1" si="62"/>
        <v>12.071577825468765</v>
      </c>
      <c r="AH109" s="24">
        <f t="shared" ca="1" si="62"/>
        <v>12.242985637025734</v>
      </c>
      <c r="AI109" s="24">
        <f t="shared" ca="1" si="62"/>
        <v>12.41551516611262</v>
      </c>
      <c r="AJ109" s="24">
        <f t="shared" ca="1" si="62"/>
        <v>12.589166412729423</v>
      </c>
      <c r="AK109" s="24">
        <f t="shared" ca="1" si="62"/>
        <v>12.763939376876143</v>
      </c>
      <c r="AL109" s="24">
        <f t="shared" ca="1" si="62"/>
        <v>12.939834058552774</v>
      </c>
      <c r="AM109" s="24">
        <f t="shared" ca="1" si="62"/>
        <v>14.165540603067372</v>
      </c>
      <c r="AN109" s="24">
        <f t="shared" ca="1" si="62"/>
        <v>15.455929829347774</v>
      </c>
      <c r="AO109" s="24">
        <f t="shared" ca="1" si="62"/>
        <v>15.455929829347774</v>
      </c>
      <c r="AP109" s="24">
        <f t="shared" ca="1" si="62"/>
        <v>15.455929829347774</v>
      </c>
      <c r="AQ109" s="6"/>
      <c r="AR109" s="6"/>
      <c r="AS109" s="228"/>
      <c r="AT109" s="228"/>
      <c r="AU109" s="6"/>
      <c r="AV109" s="6"/>
      <c r="BB109" s="4">
        <f t="shared" si="51"/>
        <v>2</v>
      </c>
    </row>
    <row r="110" spans="1:54">
      <c r="A110" s="22" t="str">
        <f>'[6]TS BYDem'!A24</f>
        <v/>
      </c>
      <c r="B110" s="22" t="str">
        <f>'[6]TS BYDem'!B24</f>
        <v>COM_PROJ</v>
      </c>
      <c r="C110" s="22" t="str">
        <f>'[6]TS BYDem'!C24</f>
        <v>-</v>
      </c>
      <c r="D110" s="22" t="str">
        <f>'[6]TS BYDem'!D24</f>
        <v>RMEH</v>
      </c>
      <c r="E110" s="132" t="s">
        <v>138</v>
      </c>
      <c r="F110" s="132" t="s">
        <v>138</v>
      </c>
      <c r="G110" s="132" t="s">
        <v>138</v>
      </c>
      <c r="H110" s="132" t="s">
        <v>138</v>
      </c>
      <c r="I110" s="132">
        <v>0</v>
      </c>
      <c r="J110" s="6">
        <f>'[6]TS BYDem'!J24</f>
        <v>13.160101387439708</v>
      </c>
      <c r="K110" s="24">
        <f t="shared" si="47"/>
        <v>13.113838780615991</v>
      </c>
      <c r="L110" s="24">
        <f t="shared" si="44"/>
        <v>13.067576173792274</v>
      </c>
      <c r="M110" s="24">
        <f t="shared" si="44"/>
        <v>13.021313566968555</v>
      </c>
      <c r="N110" s="24">
        <f t="shared" si="44"/>
        <v>12.975050960144838</v>
      </c>
      <c r="O110" s="24">
        <f>'[6]TS BYDem'!O24</f>
        <v>12.928788353321121</v>
      </c>
      <c r="P110" s="24">
        <f t="shared" ref="P110:AP110" ca="1" si="63">OFFSET(P$33,$BB110,$J$93)/OFFSET(O$33,$BB110,$J$93)*O110</f>
        <v>13.241255375346501</v>
      </c>
      <c r="Q110" s="24">
        <f t="shared" ca="1" si="63"/>
        <v>13.558455360155419</v>
      </c>
      <c r="R110" s="24">
        <f t="shared" ca="1" si="63"/>
        <v>13.880420829268681</v>
      </c>
      <c r="S110" s="24">
        <f t="shared" ca="1" si="63"/>
        <v>14.165926600065458</v>
      </c>
      <c r="T110" s="24">
        <f t="shared" ca="1" si="63"/>
        <v>14.455172065627321</v>
      </c>
      <c r="U110" s="24">
        <f t="shared" ca="1" si="63"/>
        <v>14.748180913050597</v>
      </c>
      <c r="V110" s="24">
        <f t="shared" ca="1" si="63"/>
        <v>15.044976829431599</v>
      </c>
      <c r="W110" s="24">
        <f t="shared" ca="1" si="63"/>
        <v>15.345583501866651</v>
      </c>
      <c r="X110" s="24">
        <f t="shared" ca="1" si="63"/>
        <v>15.659465252571223</v>
      </c>
      <c r="Y110" s="24">
        <f t="shared" ca="1" si="63"/>
        <v>15.977385602419416</v>
      </c>
      <c r="Z110" s="24">
        <f t="shared" ca="1" si="63"/>
        <v>16.299369505192427</v>
      </c>
      <c r="AA110" s="24">
        <f t="shared" ca="1" si="63"/>
        <v>16.62544191467147</v>
      </c>
      <c r="AB110" s="24">
        <f t="shared" ca="1" si="63"/>
        <v>16.955627784637745</v>
      </c>
      <c r="AC110" s="24">
        <f t="shared" ca="1" si="63"/>
        <v>17.196332937267915</v>
      </c>
      <c r="AD110" s="24">
        <f t="shared" ca="1" si="63"/>
        <v>17.438606186281692</v>
      </c>
      <c r="AE110" s="24">
        <f t="shared" ca="1" si="63"/>
        <v>17.682447531679067</v>
      </c>
      <c r="AF110" s="24">
        <f t="shared" ca="1" si="63"/>
        <v>17.927856973460038</v>
      </c>
      <c r="AG110" s="24">
        <f t="shared" ca="1" si="63"/>
        <v>18.174834511624606</v>
      </c>
      <c r="AH110" s="24">
        <f t="shared" ca="1" si="63"/>
        <v>18.432904223313407</v>
      </c>
      <c r="AI110" s="24">
        <f t="shared" ca="1" si="63"/>
        <v>18.692662780550801</v>
      </c>
      <c r="AJ110" s="24">
        <f t="shared" ca="1" si="63"/>
        <v>18.954110183336788</v>
      </c>
      <c r="AK110" s="24">
        <f t="shared" ca="1" si="63"/>
        <v>19.217246431671366</v>
      </c>
      <c r="AL110" s="24">
        <f t="shared" ca="1" si="63"/>
        <v>19.482071525554527</v>
      </c>
      <c r="AM110" s="24">
        <f t="shared" ca="1" si="63"/>
        <v>21.327481788276582</v>
      </c>
      <c r="AN110" s="24">
        <f t="shared" ca="1" si="63"/>
        <v>23.270277583681967</v>
      </c>
      <c r="AO110" s="24">
        <f t="shared" ca="1" si="63"/>
        <v>23.270277583681967</v>
      </c>
      <c r="AP110" s="24">
        <f t="shared" ca="1" si="63"/>
        <v>23.270277583681967</v>
      </c>
      <c r="AQ110" s="6"/>
      <c r="AR110" s="6"/>
      <c r="AS110" s="228"/>
      <c r="AT110" s="228"/>
      <c r="AU110" s="6"/>
      <c r="AV110" s="6"/>
      <c r="BB110" s="4">
        <f t="shared" si="51"/>
        <v>2</v>
      </c>
    </row>
    <row r="111" spans="1:54">
      <c r="A111" s="22" t="str">
        <f>'[6]TS BYDem'!A25</f>
        <v/>
      </c>
      <c r="B111" s="22" t="str">
        <f>'[6]TS BYDem'!B25</f>
        <v>COM_PROJ</v>
      </c>
      <c r="C111" s="22" t="str">
        <f>'[6]TS BYDem'!C25</f>
        <v>-</v>
      </c>
      <c r="D111" s="22" t="str">
        <f>'[6]TS BYDem'!D25</f>
        <v>RMEWG</v>
      </c>
      <c r="E111" s="132" t="s">
        <v>138</v>
      </c>
      <c r="F111" s="132" t="s">
        <v>138</v>
      </c>
      <c r="G111" s="132" t="s">
        <v>138</v>
      </c>
      <c r="H111" s="132" t="s">
        <v>138</v>
      </c>
      <c r="I111" s="132">
        <v>0</v>
      </c>
      <c r="J111" s="6">
        <f>'[6]TS BYDem'!J25</f>
        <v>8.7137527293210866</v>
      </c>
      <c r="K111" s="24">
        <f t="shared" si="47"/>
        <v>8.9845863339707623</v>
      </c>
      <c r="L111" s="24">
        <f t="shared" si="44"/>
        <v>9.2554199386204399</v>
      </c>
      <c r="M111" s="24">
        <f t="shared" si="44"/>
        <v>9.5262535432701156</v>
      </c>
      <c r="N111" s="24">
        <f t="shared" si="44"/>
        <v>9.7970871479197932</v>
      </c>
      <c r="O111" s="24">
        <f>'[6]TS BYDem'!O25</f>
        <v>10.067920752569469</v>
      </c>
      <c r="P111" s="24">
        <f t="shared" ref="P111:AP111" ca="1" si="64">OFFSET(P$33,$BB111,$J$93)/OFFSET(O$33,$BB111,$J$93)*O111</f>
        <v>10.31124542689866</v>
      </c>
      <c r="Q111" s="24">
        <f t="shared" ca="1" si="64"/>
        <v>10.558255759382915</v>
      </c>
      <c r="R111" s="24">
        <f t="shared" ca="1" si="64"/>
        <v>10.808977075217859</v>
      </c>
      <c r="S111" s="24">
        <f t="shared" ca="1" si="64"/>
        <v>11.031306453364484</v>
      </c>
      <c r="T111" s="24">
        <f t="shared" ca="1" si="64"/>
        <v>11.256548010866572</v>
      </c>
      <c r="U111" s="24">
        <f t="shared" ca="1" si="64"/>
        <v>11.484720193366678</v>
      </c>
      <c r="V111" s="24">
        <f t="shared" ca="1" si="64"/>
        <v>11.715841446507355</v>
      </c>
      <c r="W111" s="24">
        <f t="shared" ca="1" si="64"/>
        <v>11.949930215931156</v>
      </c>
      <c r="X111" s="24">
        <f t="shared" ca="1" si="64"/>
        <v>12.194356569384427</v>
      </c>
      <c r="Y111" s="24">
        <f t="shared" ca="1" si="64"/>
        <v>12.441927865350344</v>
      </c>
      <c r="Z111" s="24">
        <f t="shared" ca="1" si="64"/>
        <v>12.692663535865746</v>
      </c>
      <c r="AA111" s="24">
        <f t="shared" ca="1" si="64"/>
        <v>12.946583012967487</v>
      </c>
      <c r="AB111" s="24">
        <f t="shared" ca="1" si="64"/>
        <v>13.203705728692409</v>
      </c>
      <c r="AC111" s="24">
        <f t="shared" ca="1" si="64"/>
        <v>13.391147918570409</v>
      </c>
      <c r="AD111" s="24">
        <f t="shared" ca="1" si="64"/>
        <v>13.579811218245483</v>
      </c>
      <c r="AE111" s="24">
        <f t="shared" ca="1" si="64"/>
        <v>13.769695627717624</v>
      </c>
      <c r="AF111" s="24">
        <f t="shared" ca="1" si="64"/>
        <v>13.960801146986833</v>
      </c>
      <c r="AG111" s="24">
        <f t="shared" ca="1" si="64"/>
        <v>14.153127776053109</v>
      </c>
      <c r="AH111" s="24">
        <f t="shared" ca="1" si="64"/>
        <v>14.354092115085999</v>
      </c>
      <c r="AI111" s="24">
        <f t="shared" ca="1" si="64"/>
        <v>14.556371593842881</v>
      </c>
      <c r="AJ111" s="24">
        <f t="shared" ca="1" si="64"/>
        <v>14.759966212323757</v>
      </c>
      <c r="AK111" s="24">
        <f t="shared" ca="1" si="64"/>
        <v>14.964875970528627</v>
      </c>
      <c r="AL111" s="24">
        <f t="shared" ca="1" si="64"/>
        <v>15.171100868457485</v>
      </c>
      <c r="AM111" s="24">
        <f t="shared" ca="1" si="64"/>
        <v>16.608160844483113</v>
      </c>
      <c r="AN111" s="24">
        <f t="shared" ca="1" si="64"/>
        <v>18.121056993142091</v>
      </c>
      <c r="AO111" s="24">
        <f t="shared" ca="1" si="64"/>
        <v>18.121056993142091</v>
      </c>
      <c r="AP111" s="24">
        <f t="shared" ca="1" si="64"/>
        <v>18.121056993142091</v>
      </c>
      <c r="AQ111" s="6"/>
      <c r="AR111" s="6"/>
      <c r="AS111" s="228"/>
      <c r="AT111" s="228"/>
      <c r="AU111" s="6"/>
      <c r="AV111" s="6"/>
      <c r="BB111" s="4">
        <f t="shared" si="51"/>
        <v>2</v>
      </c>
    </row>
    <row r="112" spans="1:54">
      <c r="A112" s="22" t="str">
        <f>'[6]TS BYDem'!A26</f>
        <v/>
      </c>
      <c r="B112" s="22" t="str">
        <f>'[6]TS BYDem'!B26</f>
        <v>COM_PROJ</v>
      </c>
      <c r="C112" s="22" t="str">
        <f>'[6]TS BYDem'!C26</f>
        <v>-</v>
      </c>
      <c r="D112" s="22" t="str">
        <f>'[6]TS BYDem'!D26</f>
        <v>RMEW</v>
      </c>
      <c r="E112" s="132" t="s">
        <v>138</v>
      </c>
      <c r="F112" s="132" t="s">
        <v>138</v>
      </c>
      <c r="G112" s="132" t="s">
        <v>138</v>
      </c>
      <c r="H112" s="132" t="s">
        <v>138</v>
      </c>
      <c r="I112" s="132">
        <v>0</v>
      </c>
      <c r="J112" s="6">
        <f>'[6]TS BYDem'!J26</f>
        <v>6.084532675932218</v>
      </c>
      <c r="K112" s="24">
        <f t="shared" si="47"/>
        <v>5.9075367357775663</v>
      </c>
      <c r="L112" s="24">
        <f t="shared" si="47"/>
        <v>5.7305407956229146</v>
      </c>
      <c r="M112" s="24">
        <f t="shared" si="47"/>
        <v>5.553544855468262</v>
      </c>
      <c r="N112" s="24">
        <f t="shared" si="47"/>
        <v>5.3765489153136103</v>
      </c>
      <c r="O112" s="24">
        <f>'[6]TS BYDem'!O26</f>
        <v>5.1995529751589586</v>
      </c>
      <c r="P112" s="24">
        <f t="shared" ref="P112:AP112" ca="1" si="65">OFFSET(P$33,$BB112,$J$93)/OFFSET(O$33,$BB112,$J$93)*O112</f>
        <v>5.3252174063191902</v>
      </c>
      <c r="Q112" s="24">
        <f t="shared" ca="1" si="65"/>
        <v>5.4527852865923565</v>
      </c>
      <c r="R112" s="24">
        <f t="shared" ca="1" si="65"/>
        <v>5.5822696951136148</v>
      </c>
      <c r="S112" s="24">
        <f t="shared" ca="1" si="65"/>
        <v>5.6970911570636895</v>
      </c>
      <c r="T112" s="24">
        <f t="shared" ca="1" si="65"/>
        <v>5.8134166068980582</v>
      </c>
      <c r="U112" s="24">
        <f t="shared" ca="1" si="65"/>
        <v>5.9312555708235699</v>
      </c>
      <c r="V112" s="24">
        <f t="shared" ca="1" si="65"/>
        <v>6.0506175750470712</v>
      </c>
      <c r="W112" s="24">
        <f t="shared" ca="1" si="65"/>
        <v>6.1715121457754103</v>
      </c>
      <c r="X112" s="24">
        <f t="shared" ca="1" si="65"/>
        <v>6.2977455364167563</v>
      </c>
      <c r="Y112" s="24">
        <f t="shared" ca="1" si="65"/>
        <v>6.425603124903934</v>
      </c>
      <c r="Z112" s="24">
        <f t="shared" ca="1" si="65"/>
        <v>6.5550949468647008</v>
      </c>
      <c r="AA112" s="24">
        <f t="shared" ca="1" si="65"/>
        <v>6.6862310379268219</v>
      </c>
      <c r="AB112" s="24">
        <f t="shared" ca="1" si="65"/>
        <v>6.8190214337180555</v>
      </c>
      <c r="AC112" s="24">
        <f t="shared" ca="1" si="65"/>
        <v>6.9158254928681773</v>
      </c>
      <c r="AD112" s="24">
        <f t="shared" ca="1" si="65"/>
        <v>7.0132601911775065</v>
      </c>
      <c r="AE112" s="24">
        <f t="shared" ca="1" si="65"/>
        <v>7.1113255286460397</v>
      </c>
      <c r="AF112" s="24">
        <f t="shared" ca="1" si="65"/>
        <v>7.2100215052737777</v>
      </c>
      <c r="AG112" s="24">
        <f t="shared" ca="1" si="65"/>
        <v>7.3093481210607205</v>
      </c>
      <c r="AH112" s="24">
        <f t="shared" ca="1" si="65"/>
        <v>7.4131356609708492</v>
      </c>
      <c r="AI112" s="24">
        <f t="shared" ca="1" si="65"/>
        <v>7.5176024015652789</v>
      </c>
      <c r="AJ112" s="24">
        <f t="shared" ca="1" si="65"/>
        <v>7.6227483428440106</v>
      </c>
      <c r="AK112" s="24">
        <f t="shared" ca="1" si="65"/>
        <v>7.7285734848070442</v>
      </c>
      <c r="AL112" s="24">
        <f t="shared" ca="1" si="65"/>
        <v>7.8350778274543762</v>
      </c>
      <c r="AM112" s="24">
        <f t="shared" ca="1" si="65"/>
        <v>8.5772439268368075</v>
      </c>
      <c r="AN112" s="24">
        <f t="shared" ca="1" si="65"/>
        <v>9.3585754315428531</v>
      </c>
      <c r="AO112" s="24">
        <f t="shared" ca="1" si="65"/>
        <v>9.3585754315428531</v>
      </c>
      <c r="AP112" s="24">
        <f t="shared" ca="1" si="65"/>
        <v>9.3585754315428531</v>
      </c>
      <c r="AQ112" s="6"/>
      <c r="AR112" s="6"/>
      <c r="AS112" s="228"/>
      <c r="AT112" s="228"/>
      <c r="AU112" s="6"/>
      <c r="AV112" s="6"/>
      <c r="BB112" s="4">
        <f t="shared" si="51"/>
        <v>2</v>
      </c>
    </row>
    <row r="113" spans="1:54">
      <c r="A113" s="22" t="str">
        <f>'[6]TS BYDem'!A27</f>
        <v/>
      </c>
      <c r="B113" s="22" t="str">
        <f>'[6]TS BYDem'!B27</f>
        <v>COM_PROJ</v>
      </c>
      <c r="C113" s="22" t="str">
        <f>'[6]TS BYDem'!C27</f>
        <v>-</v>
      </c>
      <c r="D113" s="22" t="str">
        <f>'[6]TS BYDem'!D27</f>
        <v>RMER</v>
      </c>
      <c r="E113" s="132" t="s">
        <v>138</v>
      </c>
      <c r="F113" s="132" t="s">
        <v>138</v>
      </c>
      <c r="G113" s="132" t="s">
        <v>138</v>
      </c>
      <c r="H113" s="132" t="s">
        <v>138</v>
      </c>
      <c r="I113" s="132">
        <v>0</v>
      </c>
      <c r="J113" s="6">
        <f>'[6]TS BYDem'!J27</f>
        <v>3.4675669688275099</v>
      </c>
      <c r="K113" s="24">
        <f t="shared" si="47"/>
        <v>3.6294093972389909</v>
      </c>
      <c r="L113" s="24">
        <f t="shared" si="47"/>
        <v>3.7912518256504715</v>
      </c>
      <c r="M113" s="24">
        <f t="shared" si="47"/>
        <v>3.9530942540619525</v>
      </c>
      <c r="N113" s="24">
        <f t="shared" si="47"/>
        <v>4.1149366824734335</v>
      </c>
      <c r="O113" s="24">
        <f>'[6]TS BYDem'!O27</f>
        <v>4.276779110884914</v>
      </c>
      <c r="P113" s="24">
        <f t="shared" ref="P113:AP113" ca="1" si="66">OFFSET(P$33,$BB113,$J$93)/OFFSET(O$33,$BB113,$J$93)*O113</f>
        <v>4.3801416531524797</v>
      </c>
      <c r="Q113" s="24">
        <f t="shared" ca="1" si="66"/>
        <v>4.4850698360517933</v>
      </c>
      <c r="R113" s="24">
        <f t="shared" ca="1" si="66"/>
        <v>4.591574417540758</v>
      </c>
      <c r="S113" s="24">
        <f t="shared" ca="1" si="66"/>
        <v>4.6860183115246121</v>
      </c>
      <c r="T113" s="24">
        <f t="shared" ca="1" si="66"/>
        <v>4.7816992780024492</v>
      </c>
      <c r="U113" s="24">
        <f t="shared" ca="1" si="66"/>
        <v>4.8786251525483362</v>
      </c>
      <c r="V113" s="24">
        <f t="shared" ca="1" si="66"/>
        <v>4.9768037707363391</v>
      </c>
      <c r="W113" s="24">
        <f t="shared" ca="1" si="66"/>
        <v>5.0762429681405257</v>
      </c>
      <c r="X113" s="24">
        <f t="shared" ca="1" si="66"/>
        <v>5.1800734956436285</v>
      </c>
      <c r="Y113" s="24">
        <f t="shared" ca="1" si="66"/>
        <v>5.285239971727731</v>
      </c>
      <c r="Z113" s="24">
        <f t="shared" ca="1" si="66"/>
        <v>5.3917506509799811</v>
      </c>
      <c r="AA113" s="24">
        <f t="shared" ca="1" si="66"/>
        <v>5.4996137879875304</v>
      </c>
      <c r="AB113" s="24">
        <f t="shared" ca="1" si="66"/>
        <v>5.6088376373375262</v>
      </c>
      <c r="AC113" s="24">
        <f t="shared" ca="1" si="66"/>
        <v>5.6884617088683003</v>
      </c>
      <c r="AD113" s="24">
        <f t="shared" ca="1" si="66"/>
        <v>5.7686044989111256</v>
      </c>
      <c r="AE113" s="24">
        <f t="shared" ca="1" si="66"/>
        <v>5.8492660074659995</v>
      </c>
      <c r="AF113" s="24">
        <f t="shared" ca="1" si="66"/>
        <v>5.9304462345329219</v>
      </c>
      <c r="AG113" s="24">
        <f t="shared" ca="1" si="66"/>
        <v>6.0121451801118928</v>
      </c>
      <c r="AH113" s="24">
        <f t="shared" ca="1" si="66"/>
        <v>6.097513361718736</v>
      </c>
      <c r="AI113" s="24">
        <f t="shared" ca="1" si="66"/>
        <v>6.1834402050629622</v>
      </c>
      <c r="AJ113" s="24">
        <f t="shared" ca="1" si="66"/>
        <v>6.2699257101445722</v>
      </c>
      <c r="AK113" s="24">
        <f t="shared" ca="1" si="66"/>
        <v>6.3569698769635661</v>
      </c>
      <c r="AL113" s="24">
        <f t="shared" ca="1" si="66"/>
        <v>6.4445727055199402</v>
      </c>
      <c r="AM113" s="24">
        <f t="shared" ca="1" si="66"/>
        <v>7.0550252743869173</v>
      </c>
      <c r="AN113" s="24">
        <f t="shared" ca="1" si="66"/>
        <v>7.6976924948129071</v>
      </c>
      <c r="AO113" s="24">
        <f t="shared" ca="1" si="66"/>
        <v>7.6976924948129071</v>
      </c>
      <c r="AP113" s="24">
        <f t="shared" ca="1" si="66"/>
        <v>7.6976924948129071</v>
      </c>
      <c r="AQ113" s="6"/>
      <c r="AR113" s="6"/>
      <c r="AS113" s="228"/>
      <c r="AT113" s="228"/>
      <c r="AU113" s="6"/>
      <c r="AV113" s="6"/>
      <c r="BB113" s="4">
        <f t="shared" si="51"/>
        <v>2</v>
      </c>
    </row>
    <row r="114" spans="1:54">
      <c r="A114" s="22" t="str">
        <f>'[6]TS BYDem'!A28</f>
        <v/>
      </c>
      <c r="B114" s="22" t="str">
        <f>'[6]TS BYDem'!B28</f>
        <v>COM_PROJ</v>
      </c>
      <c r="C114" s="22" t="str">
        <f>'[6]TS BYDem'!C28</f>
        <v>-</v>
      </c>
      <c r="D114" s="22" t="str">
        <f>'[6]TS BYDem'!D28</f>
        <v>RMEO</v>
      </c>
      <c r="E114" s="132" t="s">
        <v>138</v>
      </c>
      <c r="F114" s="132" t="s">
        <v>138</v>
      </c>
      <c r="G114" s="132" t="s">
        <v>138</v>
      </c>
      <c r="H114" s="132" t="s">
        <v>138</v>
      </c>
      <c r="I114" s="132">
        <v>0</v>
      </c>
      <c r="J114" s="6">
        <f>'[6]TS BYDem'!J28</f>
        <v>6.1966615637186973</v>
      </c>
      <c r="K114" s="24">
        <f t="shared" si="47"/>
        <v>6.5664507313193043</v>
      </c>
      <c r="L114" s="24">
        <f t="shared" si="47"/>
        <v>6.9362398989199114</v>
      </c>
      <c r="M114" s="24">
        <f t="shared" si="47"/>
        <v>7.3060290665205176</v>
      </c>
      <c r="N114" s="24">
        <f t="shared" si="47"/>
        <v>7.6758182341211247</v>
      </c>
      <c r="O114" s="24">
        <f>'[6]TS BYDem'!O28</f>
        <v>8.0456074017217318</v>
      </c>
      <c r="P114" s="24">
        <f t="shared" ref="P114:AP114" ca="1" si="67">OFFSET(P$33,$BB114,$J$93)/OFFSET(O$33,$BB114,$J$93)*O114</f>
        <v>8.2400561711267599</v>
      </c>
      <c r="Q114" s="24">
        <f t="shared" ca="1" si="67"/>
        <v>8.4374502714756208</v>
      </c>
      <c r="R114" s="24">
        <f t="shared" ca="1" si="67"/>
        <v>8.6378099409670828</v>
      </c>
      <c r="S114" s="24">
        <f t="shared" ca="1" si="67"/>
        <v>8.8154806770006537</v>
      </c>
      <c r="T114" s="24">
        <f t="shared" ca="1" si="67"/>
        <v>8.9954786315685453</v>
      </c>
      <c r="U114" s="24">
        <f t="shared" ca="1" si="67"/>
        <v>9.1778185451918564</v>
      </c>
      <c r="V114" s="24">
        <f t="shared" ca="1" si="67"/>
        <v>9.3625151583916821</v>
      </c>
      <c r="W114" s="24">
        <f t="shared" ca="1" si="67"/>
        <v>9.5495832116891215</v>
      </c>
      <c r="X114" s="24">
        <f t="shared" ca="1" si="67"/>
        <v>9.7449123692033588</v>
      </c>
      <c r="Y114" s="24">
        <f t="shared" ca="1" si="67"/>
        <v>9.9427547539647669</v>
      </c>
      <c r="Z114" s="24">
        <f t="shared" ca="1" si="67"/>
        <v>10.14312589475464</v>
      </c>
      <c r="AA114" s="24">
        <f t="shared" ca="1" si="67"/>
        <v>10.34604132035428</v>
      </c>
      <c r="AB114" s="24">
        <f t="shared" ca="1" si="67"/>
        <v>10.55151655954498</v>
      </c>
      <c r="AC114" s="24">
        <f t="shared" ca="1" si="67"/>
        <v>10.701307793240627</v>
      </c>
      <c r="AD114" s="24">
        <f t="shared" ca="1" si="67"/>
        <v>10.85207485603377</v>
      </c>
      <c r="AE114" s="24">
        <f t="shared" ca="1" si="67"/>
        <v>11.003817747924405</v>
      </c>
      <c r="AF114" s="24">
        <f t="shared" ca="1" si="67"/>
        <v>11.156536468912531</v>
      </c>
      <c r="AG114" s="24">
        <f t="shared" ca="1" si="67"/>
        <v>11.310231018998151</v>
      </c>
      <c r="AH114" s="24">
        <f t="shared" ca="1" si="67"/>
        <v>11.470828247893946</v>
      </c>
      <c r="AI114" s="24">
        <f t="shared" ca="1" si="67"/>
        <v>11.632476448301905</v>
      </c>
      <c r="AJ114" s="24">
        <f t="shared" ca="1" si="67"/>
        <v>11.795175620222025</v>
      </c>
      <c r="AK114" s="24">
        <f t="shared" ca="1" si="67"/>
        <v>11.958925763654308</v>
      </c>
      <c r="AL114" s="24">
        <f t="shared" ca="1" si="67"/>
        <v>12.123726878598749</v>
      </c>
      <c r="AM114" s="24">
        <f t="shared" ca="1" si="67"/>
        <v>13.272128883737603</v>
      </c>
      <c r="AN114" s="24">
        <f t="shared" ca="1" si="67"/>
        <v>14.481134074663494</v>
      </c>
      <c r="AO114" s="24">
        <f t="shared" ca="1" si="67"/>
        <v>14.481134074663494</v>
      </c>
      <c r="AP114" s="24">
        <f t="shared" ca="1" si="67"/>
        <v>14.481134074663494</v>
      </c>
      <c r="AQ114" s="6"/>
      <c r="AR114" s="6"/>
      <c r="AS114" s="228"/>
      <c r="AT114" s="228"/>
      <c r="AU114" s="6"/>
      <c r="AV114" s="6"/>
      <c r="BB114" s="4">
        <f t="shared" si="51"/>
        <v>2</v>
      </c>
    </row>
    <row r="115" spans="1:54">
      <c r="A115" s="22" t="str">
        <f>'[6]TS BYDem'!A29</f>
        <v>*</v>
      </c>
      <c r="B115" s="22" t="str">
        <f>'[6]TS BYDem'!B29</f>
        <v>COM_PROJ</v>
      </c>
      <c r="C115" s="22" t="str">
        <f>'[6]TS BYDem'!C29</f>
        <v>-</v>
      </c>
      <c r="D115" s="22">
        <f>'[6]TS BYDem'!D29</f>
        <v>0</v>
      </c>
      <c r="E115" s="132" t="s">
        <v>138</v>
      </c>
      <c r="F115" s="132" t="s">
        <v>138</v>
      </c>
      <c r="G115" s="132" t="s">
        <v>138</v>
      </c>
      <c r="H115" s="132" t="s">
        <v>138</v>
      </c>
      <c r="I115" s="132">
        <v>0</v>
      </c>
      <c r="J115" s="6">
        <f>'[6]TS BYDem'!J29</f>
        <v>0</v>
      </c>
      <c r="K115" s="24">
        <f t="shared" si="47"/>
        <v>0</v>
      </c>
      <c r="L115" s="24">
        <f t="shared" si="47"/>
        <v>0</v>
      </c>
      <c r="M115" s="24">
        <f t="shared" si="47"/>
        <v>0</v>
      </c>
      <c r="N115" s="24">
        <f t="shared" si="47"/>
        <v>0</v>
      </c>
      <c r="O115" s="24">
        <f>'[6]TS BYDem'!O29</f>
        <v>0</v>
      </c>
      <c r="P115" s="24" t="e">
        <f t="shared" ref="P115:AP115" ca="1" si="68">OFFSET(P$33,$BB115,$J$93)/OFFSET(O$33,$BB115,$J$93)*O115</f>
        <v>#N/A</v>
      </c>
      <c r="Q115" s="24" t="e">
        <f t="shared" ca="1" si="68"/>
        <v>#N/A</v>
      </c>
      <c r="R115" s="24" t="e">
        <f t="shared" ca="1" si="68"/>
        <v>#N/A</v>
      </c>
      <c r="S115" s="24" t="e">
        <f t="shared" ca="1" si="68"/>
        <v>#N/A</v>
      </c>
      <c r="T115" s="24" t="e">
        <f t="shared" ca="1" si="68"/>
        <v>#N/A</v>
      </c>
      <c r="U115" s="24" t="e">
        <f t="shared" ca="1" si="68"/>
        <v>#N/A</v>
      </c>
      <c r="V115" s="24" t="e">
        <f t="shared" ca="1" si="68"/>
        <v>#N/A</v>
      </c>
      <c r="W115" s="24" t="e">
        <f t="shared" ca="1" si="68"/>
        <v>#N/A</v>
      </c>
      <c r="X115" s="24" t="e">
        <f t="shared" ca="1" si="68"/>
        <v>#N/A</v>
      </c>
      <c r="Y115" s="24" t="e">
        <f t="shared" ca="1" si="68"/>
        <v>#N/A</v>
      </c>
      <c r="Z115" s="24" t="e">
        <f t="shared" ca="1" si="68"/>
        <v>#N/A</v>
      </c>
      <c r="AA115" s="24" t="e">
        <f t="shared" ca="1" si="68"/>
        <v>#N/A</v>
      </c>
      <c r="AB115" s="24" t="e">
        <f t="shared" ca="1" si="68"/>
        <v>#N/A</v>
      </c>
      <c r="AC115" s="24" t="e">
        <f t="shared" ca="1" si="68"/>
        <v>#N/A</v>
      </c>
      <c r="AD115" s="24" t="e">
        <f t="shared" ca="1" si="68"/>
        <v>#N/A</v>
      </c>
      <c r="AE115" s="24" t="e">
        <f t="shared" ca="1" si="68"/>
        <v>#N/A</v>
      </c>
      <c r="AF115" s="24" t="e">
        <f t="shared" ca="1" si="68"/>
        <v>#N/A</v>
      </c>
      <c r="AG115" s="24" t="e">
        <f t="shared" ca="1" si="68"/>
        <v>#N/A</v>
      </c>
      <c r="AH115" s="24" t="e">
        <f t="shared" ca="1" si="68"/>
        <v>#N/A</v>
      </c>
      <c r="AI115" s="24" t="e">
        <f t="shared" ca="1" si="68"/>
        <v>#N/A</v>
      </c>
      <c r="AJ115" s="24" t="e">
        <f t="shared" ca="1" si="68"/>
        <v>#N/A</v>
      </c>
      <c r="AK115" s="24" t="e">
        <f t="shared" ca="1" si="68"/>
        <v>#N/A</v>
      </c>
      <c r="AL115" s="24" t="e">
        <f t="shared" ca="1" si="68"/>
        <v>#N/A</v>
      </c>
      <c r="AM115" s="24" t="e">
        <f t="shared" ca="1" si="68"/>
        <v>#N/A</v>
      </c>
      <c r="AN115" s="24" t="e">
        <f t="shared" ca="1" si="68"/>
        <v>#N/A</v>
      </c>
      <c r="AO115" s="24" t="e">
        <f t="shared" ca="1" si="68"/>
        <v>#N/A</v>
      </c>
      <c r="AP115" s="24" t="e">
        <f t="shared" ca="1" si="68"/>
        <v>#N/A</v>
      </c>
      <c r="AQ115" s="6"/>
      <c r="AR115" s="6"/>
      <c r="AS115" s="6"/>
      <c r="AT115" s="6"/>
      <c r="AU115" s="6"/>
      <c r="AV115" s="6"/>
      <c r="BB115" s="4" t="e">
        <f t="shared" si="51"/>
        <v>#N/A</v>
      </c>
    </row>
    <row r="116" spans="1:54">
      <c r="A116" s="22" t="str">
        <f>'[6]TS BYDem'!A30</f>
        <v>*</v>
      </c>
      <c r="B116" s="22" t="str">
        <f>'[6]TS BYDem'!B30</f>
        <v>COM_PROJ</v>
      </c>
      <c r="C116" s="22" t="str">
        <f>'[6]TS BYDem'!C30</f>
        <v>-</v>
      </c>
      <c r="D116" s="22">
        <f>'[6]TS BYDem'!D30</f>
        <v>0</v>
      </c>
      <c r="E116" s="132" t="s">
        <v>138</v>
      </c>
      <c r="F116" s="132" t="s">
        <v>138</v>
      </c>
      <c r="G116" s="132" t="s">
        <v>138</v>
      </c>
      <c r="H116" s="132" t="s">
        <v>138</v>
      </c>
      <c r="I116" s="132">
        <v>0</v>
      </c>
      <c r="J116" s="6">
        <f>'[6]TS BYDem'!J30</f>
        <v>0</v>
      </c>
      <c r="K116" s="24">
        <f t="shared" si="47"/>
        <v>0</v>
      </c>
      <c r="L116" s="24">
        <f t="shared" si="47"/>
        <v>0</v>
      </c>
      <c r="M116" s="24">
        <f t="shared" si="47"/>
        <v>0</v>
      </c>
      <c r="N116" s="24">
        <f t="shared" si="47"/>
        <v>0</v>
      </c>
      <c r="O116" s="24">
        <f>'[6]TS BYDem'!O30</f>
        <v>0</v>
      </c>
      <c r="P116" s="24" t="e">
        <f t="shared" ref="P116:AP116" ca="1" si="69">OFFSET(P$33,$BB116,$J$93)/OFFSET(O$33,$BB116,$J$93)*O116</f>
        <v>#N/A</v>
      </c>
      <c r="Q116" s="24" t="e">
        <f t="shared" ca="1" si="69"/>
        <v>#N/A</v>
      </c>
      <c r="R116" s="24" t="e">
        <f t="shared" ca="1" si="69"/>
        <v>#N/A</v>
      </c>
      <c r="S116" s="24" t="e">
        <f t="shared" ca="1" si="69"/>
        <v>#N/A</v>
      </c>
      <c r="T116" s="24" t="e">
        <f t="shared" ca="1" si="69"/>
        <v>#N/A</v>
      </c>
      <c r="U116" s="24" t="e">
        <f t="shared" ca="1" si="69"/>
        <v>#N/A</v>
      </c>
      <c r="V116" s="24" t="e">
        <f t="shared" ca="1" si="69"/>
        <v>#N/A</v>
      </c>
      <c r="W116" s="24" t="e">
        <f t="shared" ca="1" si="69"/>
        <v>#N/A</v>
      </c>
      <c r="X116" s="24" t="e">
        <f t="shared" ca="1" si="69"/>
        <v>#N/A</v>
      </c>
      <c r="Y116" s="24" t="e">
        <f t="shared" ca="1" si="69"/>
        <v>#N/A</v>
      </c>
      <c r="Z116" s="24" t="e">
        <f t="shared" ca="1" si="69"/>
        <v>#N/A</v>
      </c>
      <c r="AA116" s="24" t="e">
        <f t="shared" ca="1" si="69"/>
        <v>#N/A</v>
      </c>
      <c r="AB116" s="24" t="e">
        <f t="shared" ca="1" si="69"/>
        <v>#N/A</v>
      </c>
      <c r="AC116" s="24" t="e">
        <f t="shared" ca="1" si="69"/>
        <v>#N/A</v>
      </c>
      <c r="AD116" s="24" t="e">
        <f t="shared" ca="1" si="69"/>
        <v>#N/A</v>
      </c>
      <c r="AE116" s="24" t="e">
        <f t="shared" ca="1" si="69"/>
        <v>#N/A</v>
      </c>
      <c r="AF116" s="24" t="e">
        <f t="shared" ca="1" si="69"/>
        <v>#N/A</v>
      </c>
      <c r="AG116" s="24" t="e">
        <f t="shared" ca="1" si="69"/>
        <v>#N/A</v>
      </c>
      <c r="AH116" s="24" t="e">
        <f t="shared" ca="1" si="69"/>
        <v>#N/A</v>
      </c>
      <c r="AI116" s="24" t="e">
        <f t="shared" ca="1" si="69"/>
        <v>#N/A</v>
      </c>
      <c r="AJ116" s="24" t="e">
        <f t="shared" ca="1" si="69"/>
        <v>#N/A</v>
      </c>
      <c r="AK116" s="24" t="e">
        <f t="shared" ca="1" si="69"/>
        <v>#N/A</v>
      </c>
      <c r="AL116" s="24" t="e">
        <f t="shared" ca="1" si="69"/>
        <v>#N/A</v>
      </c>
      <c r="AM116" s="24" t="e">
        <f t="shared" ca="1" si="69"/>
        <v>#N/A</v>
      </c>
      <c r="AN116" s="24" t="e">
        <f t="shared" ca="1" si="69"/>
        <v>#N/A</v>
      </c>
      <c r="AO116" s="24" t="e">
        <f t="shared" ca="1" si="69"/>
        <v>#N/A</v>
      </c>
      <c r="AP116" s="24" t="e">
        <f t="shared" ca="1" si="69"/>
        <v>#N/A</v>
      </c>
      <c r="AQ116" s="6"/>
      <c r="AR116" s="6"/>
      <c r="AS116" s="6"/>
      <c r="AT116" s="6"/>
      <c r="AU116" s="6"/>
      <c r="AV116" s="6"/>
      <c r="BB116" s="4" t="e">
        <f t="shared" si="51"/>
        <v>#N/A</v>
      </c>
    </row>
    <row r="117" spans="1:54">
      <c r="A117" s="22" t="str">
        <f>'[6]TS BYDem'!A31</f>
        <v>*</v>
      </c>
      <c r="B117" s="22" t="str">
        <f>'[6]TS BYDem'!B31</f>
        <v>COM_PROJ</v>
      </c>
      <c r="C117" s="22" t="str">
        <f>'[6]TS BYDem'!C31</f>
        <v>-</v>
      </c>
      <c r="D117" s="22">
        <f>'[6]TS BYDem'!D31</f>
        <v>0</v>
      </c>
      <c r="E117" s="132" t="s">
        <v>138</v>
      </c>
      <c r="F117" s="132" t="s">
        <v>138</v>
      </c>
      <c r="G117" s="132" t="s">
        <v>138</v>
      </c>
      <c r="H117" s="132" t="s">
        <v>138</v>
      </c>
      <c r="I117" s="132">
        <v>0</v>
      </c>
      <c r="J117" s="6">
        <f>'[6]TS BYDem'!J31</f>
        <v>0</v>
      </c>
      <c r="K117" s="24">
        <f t="shared" si="47"/>
        <v>0</v>
      </c>
      <c r="L117" s="24">
        <f t="shared" si="47"/>
        <v>0</v>
      </c>
      <c r="M117" s="24">
        <f t="shared" si="47"/>
        <v>0</v>
      </c>
      <c r="N117" s="24">
        <f t="shared" si="47"/>
        <v>0</v>
      </c>
      <c r="O117" s="24">
        <f>'[6]TS BYDem'!O31</f>
        <v>0</v>
      </c>
      <c r="P117" s="24" t="e">
        <f t="shared" ref="P117:AP117" ca="1" si="70">OFFSET(P$33,$BB117,$J$93)/OFFSET(O$33,$BB117,$J$93)*O117</f>
        <v>#N/A</v>
      </c>
      <c r="Q117" s="24" t="e">
        <f t="shared" ca="1" si="70"/>
        <v>#N/A</v>
      </c>
      <c r="R117" s="24" t="e">
        <f t="shared" ca="1" si="70"/>
        <v>#N/A</v>
      </c>
      <c r="S117" s="24" t="e">
        <f t="shared" ca="1" si="70"/>
        <v>#N/A</v>
      </c>
      <c r="T117" s="24" t="e">
        <f t="shared" ca="1" si="70"/>
        <v>#N/A</v>
      </c>
      <c r="U117" s="24" t="e">
        <f t="shared" ca="1" si="70"/>
        <v>#N/A</v>
      </c>
      <c r="V117" s="24" t="e">
        <f t="shared" ca="1" si="70"/>
        <v>#N/A</v>
      </c>
      <c r="W117" s="24" t="e">
        <f t="shared" ca="1" si="70"/>
        <v>#N/A</v>
      </c>
      <c r="X117" s="24" t="e">
        <f t="shared" ca="1" si="70"/>
        <v>#N/A</v>
      </c>
      <c r="Y117" s="24" t="e">
        <f t="shared" ca="1" si="70"/>
        <v>#N/A</v>
      </c>
      <c r="Z117" s="24" t="e">
        <f t="shared" ca="1" si="70"/>
        <v>#N/A</v>
      </c>
      <c r="AA117" s="24" t="e">
        <f t="shared" ca="1" si="70"/>
        <v>#N/A</v>
      </c>
      <c r="AB117" s="24" t="e">
        <f t="shared" ca="1" si="70"/>
        <v>#N/A</v>
      </c>
      <c r="AC117" s="24" t="e">
        <f t="shared" ca="1" si="70"/>
        <v>#N/A</v>
      </c>
      <c r="AD117" s="24" t="e">
        <f t="shared" ca="1" si="70"/>
        <v>#N/A</v>
      </c>
      <c r="AE117" s="24" t="e">
        <f t="shared" ca="1" si="70"/>
        <v>#N/A</v>
      </c>
      <c r="AF117" s="24" t="e">
        <f t="shared" ca="1" si="70"/>
        <v>#N/A</v>
      </c>
      <c r="AG117" s="24" t="e">
        <f t="shared" ca="1" si="70"/>
        <v>#N/A</v>
      </c>
      <c r="AH117" s="24" t="e">
        <f t="shared" ca="1" si="70"/>
        <v>#N/A</v>
      </c>
      <c r="AI117" s="24" t="e">
        <f t="shared" ca="1" si="70"/>
        <v>#N/A</v>
      </c>
      <c r="AJ117" s="24" t="e">
        <f t="shared" ca="1" si="70"/>
        <v>#N/A</v>
      </c>
      <c r="AK117" s="24" t="e">
        <f t="shared" ca="1" si="70"/>
        <v>#N/A</v>
      </c>
      <c r="AL117" s="24" t="e">
        <f t="shared" ca="1" si="70"/>
        <v>#N/A</v>
      </c>
      <c r="AM117" s="24" t="e">
        <f t="shared" ca="1" si="70"/>
        <v>#N/A</v>
      </c>
      <c r="AN117" s="24" t="e">
        <f t="shared" ca="1" si="70"/>
        <v>#N/A</v>
      </c>
      <c r="AO117" s="24" t="e">
        <f t="shared" ca="1" si="70"/>
        <v>#N/A</v>
      </c>
      <c r="AP117" s="24" t="e">
        <f t="shared" ca="1" si="70"/>
        <v>#N/A</v>
      </c>
      <c r="AQ117" s="6"/>
      <c r="AR117" s="6"/>
      <c r="AS117" s="6"/>
      <c r="AT117" s="6"/>
      <c r="AU117" s="6"/>
      <c r="AV117" s="6"/>
      <c r="BB117" s="4" t="e">
        <f t="shared" si="51"/>
        <v>#N/A</v>
      </c>
    </row>
    <row r="118" spans="1:54">
      <c r="A118" s="22" t="str">
        <f>'[6]TS BYDem'!A32</f>
        <v/>
      </c>
      <c r="B118" s="22" t="str">
        <f>'[6]TS BYDem'!B32</f>
        <v>COM_PROJ</v>
      </c>
      <c r="C118" s="22" t="str">
        <f>'[6]TS BYDem'!C32</f>
        <v>-</v>
      </c>
      <c r="D118" s="22" t="str">
        <f>'[6]TS BYDem'!D32</f>
        <v>RHEL</v>
      </c>
      <c r="E118" s="132" t="s">
        <v>138</v>
      </c>
      <c r="F118" s="132" t="s">
        <v>138</v>
      </c>
      <c r="G118" s="132" t="s">
        <v>138</v>
      </c>
      <c r="H118" s="132" t="s">
        <v>138</v>
      </c>
      <c r="I118" s="132">
        <v>0</v>
      </c>
      <c r="J118" s="6">
        <f>'[6]TS BYDem'!J32</f>
        <v>29.137979962225089</v>
      </c>
      <c r="K118" s="24">
        <f t="shared" si="47"/>
        <v>30.895416547805155</v>
      </c>
      <c r="L118" s="24">
        <f t="shared" si="47"/>
        <v>32.652853133385221</v>
      </c>
      <c r="M118" s="24">
        <f t="shared" si="47"/>
        <v>34.410289718965288</v>
      </c>
      <c r="N118" s="24">
        <f t="shared" si="47"/>
        <v>36.167726304545354</v>
      </c>
      <c r="O118" s="24">
        <f>'[6]TS BYDem'!O32</f>
        <v>37.925162890125421</v>
      </c>
      <c r="P118" s="24">
        <f t="shared" ref="P118:AP118" ca="1" si="71">IF($E$78=1, P89, P83)</f>
        <v>37.056571719218319</v>
      </c>
      <c r="Q118" s="24">
        <f t="shared" ca="1" si="71"/>
        <v>37.959421278419939</v>
      </c>
      <c r="R118" s="24">
        <f t="shared" ca="1" si="71"/>
        <v>38.872648617180189</v>
      </c>
      <c r="S118" s="24">
        <f t="shared" ca="1" si="71"/>
        <v>39.59482672625483</v>
      </c>
      <c r="T118" s="24">
        <f t="shared" ca="1" si="71"/>
        <v>40.323647451222151</v>
      </c>
      <c r="U118" s="24">
        <f t="shared" ca="1" si="71"/>
        <v>41.059110792082123</v>
      </c>
      <c r="V118" s="24">
        <f t="shared" ca="1" si="71"/>
        <v>41.801216748834776</v>
      </c>
      <c r="W118" s="24">
        <f t="shared" ca="1" si="71"/>
        <v>42.549965321480144</v>
      </c>
      <c r="X118" s="24">
        <f t="shared" ca="1" si="71"/>
        <v>43.600628474267417</v>
      </c>
      <c r="Y118" s="24">
        <f t="shared" ca="1" si="71"/>
        <v>44.663592450416658</v>
      </c>
      <c r="Z118" s="24">
        <f t="shared" ca="1" si="71"/>
        <v>45.738857249927868</v>
      </c>
      <c r="AA118" s="24">
        <f t="shared" ca="1" si="71"/>
        <v>46.826422872801039</v>
      </c>
      <c r="AB118" s="24">
        <f t="shared" ca="1" si="71"/>
        <v>47.92628931903613</v>
      </c>
      <c r="AC118" s="24">
        <f t="shared" ca="1" si="71"/>
        <v>48.936740868477926</v>
      </c>
      <c r="AD118" s="24">
        <f t="shared" ca="1" si="71"/>
        <v>49.957531325573363</v>
      </c>
      <c r="AE118" s="24">
        <f t="shared" ca="1" si="71"/>
        <v>50.988660690322426</v>
      </c>
      <c r="AF118" s="24">
        <f t="shared" ca="1" si="71"/>
        <v>52.030128962725136</v>
      </c>
      <c r="AG118" s="24">
        <f t="shared" ca="1" si="71"/>
        <v>53.081936142781508</v>
      </c>
      <c r="AH118" s="24">
        <f t="shared" ca="1" si="71"/>
        <v>54.073836663449491</v>
      </c>
      <c r="AI118" s="24">
        <f t="shared" ca="1" si="71"/>
        <v>55.074908102215645</v>
      </c>
      <c r="AJ118" s="24">
        <f t="shared" ca="1" si="71"/>
        <v>56.085150459079983</v>
      </c>
      <c r="AK118" s="24">
        <f t="shared" ca="1" si="71"/>
        <v>57.104563734042515</v>
      </c>
      <c r="AL118" s="24">
        <f t="shared" ca="1" si="71"/>
        <v>58.133147927103209</v>
      </c>
      <c r="AM118" s="24">
        <f t="shared" ca="1" si="71"/>
        <v>63.7188549879113</v>
      </c>
      <c r="AN118" s="24">
        <f t="shared" ca="1" si="71"/>
        <v>68.493583607486926</v>
      </c>
      <c r="AO118" s="24">
        <f t="shared" ca="1" si="71"/>
        <v>68.493583607486926</v>
      </c>
      <c r="AP118" s="24">
        <f t="shared" ca="1" si="71"/>
        <v>68.493583607486926</v>
      </c>
      <c r="AQ118" s="6"/>
      <c r="AR118" s="228"/>
      <c r="AS118" s="228"/>
      <c r="AT118" s="227"/>
      <c r="AU118" s="6"/>
      <c r="AV118" s="6"/>
      <c r="BB118" s="4">
        <f t="shared" si="51"/>
        <v>3</v>
      </c>
    </row>
    <row r="119" spans="1:54">
      <c r="A119" s="22" t="str">
        <f>'[6]TS BYDem'!A33</f>
        <v/>
      </c>
      <c r="B119" s="22" t="str">
        <f>'[6]TS BYDem'!B33</f>
        <v>COM_PROJ</v>
      </c>
      <c r="C119" s="22" t="str">
        <f>'[6]TS BYDem'!C33</f>
        <v>-</v>
      </c>
      <c r="D119" s="22" t="str">
        <f>'[6]TS BYDem'!D33</f>
        <v>RHEK</v>
      </c>
      <c r="E119" s="132" t="s">
        <v>138</v>
      </c>
      <c r="F119" s="132" t="s">
        <v>138</v>
      </c>
      <c r="G119" s="132" t="s">
        <v>138</v>
      </c>
      <c r="H119" s="132" t="s">
        <v>138</v>
      </c>
      <c r="I119" s="132">
        <v>0</v>
      </c>
      <c r="J119" s="6">
        <f>'[6]TS BYDem'!J33</f>
        <v>3.8899651470038408</v>
      </c>
      <c r="K119" s="24">
        <f t="shared" si="47"/>
        <v>4.388697141528918</v>
      </c>
      <c r="L119" s="24">
        <f t="shared" si="47"/>
        <v>4.8874291360539948</v>
      </c>
      <c r="M119" s="24">
        <f t="shared" si="47"/>
        <v>5.3861611305790715</v>
      </c>
      <c r="N119" s="24">
        <f t="shared" si="47"/>
        <v>5.8848931251041492</v>
      </c>
      <c r="O119" s="24">
        <f>'[6]TS BYDem'!O33</f>
        <v>6.383625119629226</v>
      </c>
      <c r="P119" s="24">
        <f t="shared" ref="P119:AP119" ca="1" si="72">OFFSET(P$33,$BB119,$J$93)/OFFSET(O$33,$BB119,$J$93)*O119</f>
        <v>6.5411627130052059</v>
      </c>
      <c r="Q119" s="24">
        <f t="shared" ca="1" si="72"/>
        <v>6.7005321742940387</v>
      </c>
      <c r="R119" s="24">
        <f t="shared" ca="1" si="72"/>
        <v>6.8617335034957234</v>
      </c>
      <c r="S119" s="24">
        <f t="shared" ca="1" si="72"/>
        <v>6.9892111491619504</v>
      </c>
      <c r="T119" s="24">
        <f t="shared" ca="1" si="72"/>
        <v>7.1178613380338263</v>
      </c>
      <c r="U119" s="24">
        <f t="shared" ca="1" si="72"/>
        <v>7.2476840701113465</v>
      </c>
      <c r="V119" s="24">
        <f t="shared" ca="1" si="72"/>
        <v>7.3786793453945156</v>
      </c>
      <c r="W119" s="24">
        <f t="shared" ca="1" si="72"/>
        <v>7.5108471638833407</v>
      </c>
      <c r="X119" s="24">
        <f t="shared" ca="1" si="72"/>
        <v>7.6963084281096901</v>
      </c>
      <c r="Y119" s="24">
        <f t="shared" ca="1" si="72"/>
        <v>7.8839410126547191</v>
      </c>
      <c r="Z119" s="24">
        <f t="shared" ca="1" si="72"/>
        <v>8.0737449175184288</v>
      </c>
      <c r="AA119" s="24">
        <f t="shared" ca="1" si="72"/>
        <v>8.2657201427008165</v>
      </c>
      <c r="AB119" s="24">
        <f t="shared" ca="1" si="72"/>
        <v>8.4598666882018758</v>
      </c>
      <c r="AC119" s="24">
        <f t="shared" ca="1" si="72"/>
        <v>8.6382298689242614</v>
      </c>
      <c r="AD119" s="24">
        <f t="shared" ca="1" si="72"/>
        <v>8.8184180559572578</v>
      </c>
      <c r="AE119" s="24">
        <f t="shared" ca="1" si="72"/>
        <v>9.0004312493008651</v>
      </c>
      <c r="AF119" s="24">
        <f t="shared" ca="1" si="72"/>
        <v>9.1842694489550851</v>
      </c>
      <c r="AG119" s="24">
        <f t="shared" ca="1" si="72"/>
        <v>9.3699326549199196</v>
      </c>
      <c r="AH119" s="24">
        <f t="shared" ca="1" si="72"/>
        <v>9.5450212397454539</v>
      </c>
      <c r="AI119" s="24">
        <f t="shared" ca="1" si="72"/>
        <v>9.7217286593612737</v>
      </c>
      <c r="AJ119" s="24">
        <f t="shared" ca="1" si="72"/>
        <v>9.9000549137673808</v>
      </c>
      <c r="AK119" s="24">
        <f t="shared" ca="1" si="72"/>
        <v>10.080000002963779</v>
      </c>
      <c r="AL119" s="24">
        <f t="shared" ca="1" si="72"/>
        <v>10.26156392695046</v>
      </c>
      <c r="AM119" s="24">
        <f t="shared" ca="1" si="72"/>
        <v>11.24754339177448</v>
      </c>
      <c r="AN119" s="24">
        <f t="shared" ca="1" si="72"/>
        <v>12.090370328052808</v>
      </c>
      <c r="AO119" s="24">
        <f t="shared" ca="1" si="72"/>
        <v>12.090370328052808</v>
      </c>
      <c r="AP119" s="24">
        <f t="shared" ca="1" si="72"/>
        <v>12.090370328052808</v>
      </c>
      <c r="AQ119" s="6"/>
      <c r="AR119" s="228"/>
      <c r="AS119" s="228"/>
      <c r="AT119" s="227"/>
      <c r="AU119" s="6"/>
      <c r="AV119" s="6"/>
      <c r="BB119" s="4">
        <f t="shared" si="51"/>
        <v>3</v>
      </c>
    </row>
    <row r="120" spans="1:54">
      <c r="A120" s="22" t="str">
        <f>'[6]TS BYDem'!A34</f>
        <v/>
      </c>
      <c r="B120" s="22" t="str">
        <f>'[6]TS BYDem'!B34</f>
        <v>COM_PROJ</v>
      </c>
      <c r="C120" s="22" t="str">
        <f>'[6]TS BYDem'!C34</f>
        <v>-</v>
      </c>
      <c r="D120" s="22" t="str">
        <f>'[6]TS BYDem'!D34</f>
        <v>RHEH</v>
      </c>
      <c r="E120" s="132" t="s">
        <v>138</v>
      </c>
      <c r="F120" s="132" t="s">
        <v>138</v>
      </c>
      <c r="G120" s="132" t="s">
        <v>138</v>
      </c>
      <c r="H120" s="132" t="s">
        <v>138</v>
      </c>
      <c r="I120" s="132">
        <v>0</v>
      </c>
      <c r="J120" s="6">
        <f>'[6]TS BYDem'!J34</f>
        <v>7.0807191761646662</v>
      </c>
      <c r="K120" s="24">
        <f t="shared" si="47"/>
        <v>7.4891838053592767</v>
      </c>
      <c r="L120" s="24">
        <f t="shared" si="47"/>
        <v>7.8976484345538882</v>
      </c>
      <c r="M120" s="24">
        <f t="shared" si="47"/>
        <v>8.3061130637484997</v>
      </c>
      <c r="N120" s="24">
        <f t="shared" si="47"/>
        <v>8.7145776929431094</v>
      </c>
      <c r="O120" s="24">
        <f>'[6]TS BYDem'!O34</f>
        <v>9.1230423221377208</v>
      </c>
      <c r="P120" s="24">
        <f t="shared" ref="P120:AP120" ca="1" si="73">OFFSET(P$33,$BB120,$J$93)/OFFSET(O$33,$BB120,$J$93)*O120</f>
        <v>9.3481843229230464</v>
      </c>
      <c r="Q120" s="24">
        <f t="shared" ca="1" si="73"/>
        <v>9.5759443045866881</v>
      </c>
      <c r="R120" s="24">
        <f t="shared" ca="1" si="73"/>
        <v>9.8063222671286425</v>
      </c>
      <c r="S120" s="24">
        <f t="shared" ca="1" si="73"/>
        <v>9.9885046376070346</v>
      </c>
      <c r="T120" s="24">
        <f t="shared" ca="1" si="73"/>
        <v>10.172362726989531</v>
      </c>
      <c r="U120" s="24">
        <f t="shared" ca="1" si="73"/>
        <v>10.357896535276124</v>
      </c>
      <c r="V120" s="24">
        <f t="shared" ca="1" si="73"/>
        <v>10.54510606246682</v>
      </c>
      <c r="W120" s="24">
        <f t="shared" ca="1" si="73"/>
        <v>10.733991308561627</v>
      </c>
      <c r="X120" s="24">
        <f t="shared" ca="1" si="73"/>
        <v>10.999039918238198</v>
      </c>
      <c r="Y120" s="24">
        <f t="shared" ca="1" si="73"/>
        <v>11.267191631056166</v>
      </c>
      <c r="Z120" s="24">
        <f t="shared" ca="1" si="73"/>
        <v>11.538446447015534</v>
      </c>
      <c r="AA120" s="24">
        <f t="shared" ca="1" si="73"/>
        <v>11.8128043661163</v>
      </c>
      <c r="AB120" s="24">
        <f t="shared" ca="1" si="73"/>
        <v>12.090265388358452</v>
      </c>
      <c r="AC120" s="24">
        <f t="shared" ca="1" si="73"/>
        <v>12.345169900441695</v>
      </c>
      <c r="AD120" s="24">
        <f t="shared" ca="1" si="73"/>
        <v>12.602682587268577</v>
      </c>
      <c r="AE120" s="24">
        <f t="shared" ca="1" si="73"/>
        <v>12.862803448839097</v>
      </c>
      <c r="AF120" s="24">
        <f t="shared" ca="1" si="73"/>
        <v>13.125532485153258</v>
      </c>
      <c r="AG120" s="24">
        <f t="shared" ca="1" si="73"/>
        <v>13.390869696211062</v>
      </c>
      <c r="AH120" s="24">
        <f t="shared" ca="1" si="73"/>
        <v>13.641094378825152</v>
      </c>
      <c r="AI120" s="24">
        <f t="shared" ca="1" si="73"/>
        <v>13.89363258988547</v>
      </c>
      <c r="AJ120" s="24">
        <f t="shared" ca="1" si="73"/>
        <v>14.148484329392021</v>
      </c>
      <c r="AK120" s="24">
        <f t="shared" ca="1" si="73"/>
        <v>14.405649597344807</v>
      </c>
      <c r="AL120" s="24">
        <f t="shared" ca="1" si="73"/>
        <v>14.665128393743819</v>
      </c>
      <c r="AM120" s="24">
        <f t="shared" ca="1" si="73"/>
        <v>16.074223103689864</v>
      </c>
      <c r="AN120" s="24">
        <f t="shared" ca="1" si="73"/>
        <v>17.278733967941783</v>
      </c>
      <c r="AO120" s="24">
        <f t="shared" ca="1" si="73"/>
        <v>17.278733967941783</v>
      </c>
      <c r="AP120" s="24">
        <f t="shared" ca="1" si="73"/>
        <v>17.278733967941783</v>
      </c>
      <c r="AQ120" s="6"/>
      <c r="AR120" s="228"/>
      <c r="AS120" s="228"/>
      <c r="AT120" s="227"/>
      <c r="AU120" s="6"/>
      <c r="AV120" s="6"/>
      <c r="BB120" s="4">
        <f t="shared" si="51"/>
        <v>3</v>
      </c>
    </row>
    <row r="121" spans="1:54">
      <c r="A121" s="22" t="str">
        <f>'[6]TS BYDem'!A35</f>
        <v/>
      </c>
      <c r="B121" s="22" t="str">
        <f>'[6]TS BYDem'!B35</f>
        <v>COM_PROJ</v>
      </c>
      <c r="C121" s="22" t="str">
        <f>'[6]TS BYDem'!C35</f>
        <v>-</v>
      </c>
      <c r="D121" s="22" t="str">
        <f>'[6]TS BYDem'!D35</f>
        <v>RHEWG</v>
      </c>
      <c r="E121" s="132" t="s">
        <v>138</v>
      </c>
      <c r="F121" s="132" t="s">
        <v>138</v>
      </c>
      <c r="G121" s="132" t="s">
        <v>138</v>
      </c>
      <c r="H121" s="132" t="s">
        <v>138</v>
      </c>
      <c r="I121" s="132">
        <v>0</v>
      </c>
      <c r="J121" s="6">
        <f>'[6]TS BYDem'!J35</f>
        <v>31.723289073249305</v>
      </c>
      <c r="K121" s="24">
        <f t="shared" si="47"/>
        <v>33.216137308815547</v>
      </c>
      <c r="L121" s="24">
        <f t="shared" si="47"/>
        <v>34.708985544381797</v>
      </c>
      <c r="M121" s="24">
        <f t="shared" si="47"/>
        <v>36.201833779948039</v>
      </c>
      <c r="N121" s="24">
        <f t="shared" si="47"/>
        <v>37.694682015514289</v>
      </c>
      <c r="O121" s="24">
        <f>'[6]TS BYDem'!O35</f>
        <v>39.187530251080531</v>
      </c>
      <c r="P121" s="24">
        <f t="shared" ref="P121:AP121" ca="1" si="74">OFFSET(P$33,$BB121,$J$93)/OFFSET(O$33,$BB121,$J$93)*O121</f>
        <v>40.15461542453793</v>
      </c>
      <c r="Q121" s="24">
        <f t="shared" ca="1" si="74"/>
        <v>41.132945991937738</v>
      </c>
      <c r="R121" s="24">
        <f t="shared" ca="1" si="74"/>
        <v>42.122521953279957</v>
      </c>
      <c r="S121" s="24">
        <f t="shared" ca="1" si="74"/>
        <v>42.905076379999166</v>
      </c>
      <c r="T121" s="24">
        <f t="shared" ca="1" si="74"/>
        <v>43.694828765790376</v>
      </c>
      <c r="U121" s="24">
        <f t="shared" ca="1" si="74"/>
        <v>44.491779110653553</v>
      </c>
      <c r="V121" s="24">
        <f t="shared" ca="1" si="74"/>
        <v>45.295927414588725</v>
      </c>
      <c r="W121" s="24">
        <f t="shared" ca="1" si="74"/>
        <v>46.107273677595934</v>
      </c>
      <c r="X121" s="24">
        <f t="shared" ca="1" si="74"/>
        <v>47.245775510970489</v>
      </c>
      <c r="Y121" s="24">
        <f t="shared" ca="1" si="74"/>
        <v>48.39760655448481</v>
      </c>
      <c r="Z121" s="24">
        <f t="shared" ca="1" si="74"/>
        <v>49.562766808138903</v>
      </c>
      <c r="AA121" s="24">
        <f t="shared" ca="1" si="74"/>
        <v>50.741256271932762</v>
      </c>
      <c r="AB121" s="24">
        <f t="shared" ca="1" si="74"/>
        <v>51.933074945866338</v>
      </c>
      <c r="AC121" s="24">
        <f t="shared" ca="1" si="74"/>
        <v>53.028003361813703</v>
      </c>
      <c r="AD121" s="24">
        <f t="shared" ca="1" si="74"/>
        <v>54.134135049987314</v>
      </c>
      <c r="AE121" s="24">
        <f t="shared" ca="1" si="74"/>
        <v>55.251470010387159</v>
      </c>
      <c r="AF121" s="24">
        <f t="shared" ca="1" si="74"/>
        <v>56.380008243013258</v>
      </c>
      <c r="AG121" s="24">
        <f t="shared" ca="1" si="74"/>
        <v>57.519749747865625</v>
      </c>
      <c r="AH121" s="24">
        <f t="shared" ca="1" si="74"/>
        <v>58.594576211808736</v>
      </c>
      <c r="AI121" s="24">
        <f t="shared" ca="1" si="74"/>
        <v>59.679340310892854</v>
      </c>
      <c r="AJ121" s="24">
        <f t="shared" ca="1" si="74"/>
        <v>60.774042045117987</v>
      </c>
      <c r="AK121" s="24">
        <f t="shared" ca="1" si="74"/>
        <v>61.878681414484149</v>
      </c>
      <c r="AL121" s="24">
        <f t="shared" ca="1" si="74"/>
        <v>62.993258418991303</v>
      </c>
      <c r="AM121" s="24">
        <f t="shared" ca="1" si="74"/>
        <v>69.045947820492316</v>
      </c>
      <c r="AN121" s="24">
        <f t="shared" ca="1" si="74"/>
        <v>74.219858481422676</v>
      </c>
      <c r="AO121" s="24">
        <f t="shared" ca="1" si="74"/>
        <v>74.219858481422676</v>
      </c>
      <c r="AP121" s="24">
        <f t="shared" ca="1" si="74"/>
        <v>74.219858481422676</v>
      </c>
      <c r="AQ121" s="6"/>
      <c r="AR121" s="228"/>
      <c r="AS121" s="228"/>
      <c r="AT121" s="227"/>
      <c r="AU121" s="6"/>
      <c r="AV121" s="6"/>
      <c r="BB121" s="4">
        <f t="shared" si="51"/>
        <v>3</v>
      </c>
    </row>
    <row r="122" spans="1:54">
      <c r="A122" s="22" t="str">
        <f>'[6]TS BYDem'!A36</f>
        <v/>
      </c>
      <c r="B122" s="22" t="str">
        <f>'[6]TS BYDem'!B36</f>
        <v>COM_PROJ</v>
      </c>
      <c r="C122" s="22" t="str">
        <f>'[6]TS BYDem'!C36</f>
        <v>-</v>
      </c>
      <c r="D122" s="22" t="str">
        <f>'[6]TS BYDem'!D36</f>
        <v>RHEW</v>
      </c>
      <c r="E122" s="132" t="s">
        <v>138</v>
      </c>
      <c r="F122" s="132" t="s">
        <v>138</v>
      </c>
      <c r="G122" s="132" t="s">
        <v>138</v>
      </c>
      <c r="H122" s="132" t="s">
        <v>138</v>
      </c>
      <c r="I122" s="132">
        <v>0</v>
      </c>
      <c r="J122" s="6">
        <f>'[6]TS BYDem'!J36</f>
        <v>0.56043977372187515</v>
      </c>
      <c r="K122" s="24">
        <f t="shared" si="47"/>
        <v>1.9626793267777487</v>
      </c>
      <c r="L122" s="24">
        <f t="shared" si="47"/>
        <v>3.3649188798336223</v>
      </c>
      <c r="M122" s="24">
        <f t="shared" si="47"/>
        <v>4.7671584328894951</v>
      </c>
      <c r="N122" s="24">
        <f t="shared" si="47"/>
        <v>6.1693979859453698</v>
      </c>
      <c r="O122" s="24">
        <f>'[6]TS BYDem'!O36</f>
        <v>7.5716375390012427</v>
      </c>
      <c r="P122" s="24">
        <f t="shared" ref="P122:AP122" ca="1" si="75">OFFSET(P$33,$BB122,$J$93)/OFFSET(O$33,$BB122,$J$93)*O122</f>
        <v>7.7584933667567997</v>
      </c>
      <c r="Q122" s="24">
        <f t="shared" ca="1" si="75"/>
        <v>7.9475219787212534</v>
      </c>
      <c r="R122" s="24">
        <f t="shared" ca="1" si="75"/>
        <v>8.1387233748946031</v>
      </c>
      <c r="S122" s="24">
        <f t="shared" ca="1" si="75"/>
        <v>8.2899250055075804</v>
      </c>
      <c r="T122" s="24">
        <f t="shared" ca="1" si="75"/>
        <v>8.442517393250812</v>
      </c>
      <c r="U122" s="24">
        <f t="shared" ca="1" si="75"/>
        <v>8.5965005381242925</v>
      </c>
      <c r="V122" s="24">
        <f t="shared" ca="1" si="75"/>
        <v>8.7518744401280255</v>
      </c>
      <c r="W122" s="24">
        <f t="shared" ca="1" si="75"/>
        <v>8.9086390992620217</v>
      </c>
      <c r="X122" s="24">
        <f t="shared" ca="1" si="75"/>
        <v>9.1286152795563336</v>
      </c>
      <c r="Y122" s="24">
        <f t="shared" ca="1" si="75"/>
        <v>9.3511668696101502</v>
      </c>
      <c r="Z122" s="24">
        <f t="shared" ca="1" si="75"/>
        <v>9.5762938694234734</v>
      </c>
      <c r="AA122" s="24">
        <f t="shared" ca="1" si="75"/>
        <v>9.8039962789962978</v>
      </c>
      <c r="AB122" s="24">
        <f t="shared" ca="1" si="75"/>
        <v>10.034274098328618</v>
      </c>
      <c r="AC122" s="24">
        <f t="shared" ca="1" si="75"/>
        <v>10.245831219779967</v>
      </c>
      <c r="AD122" s="24">
        <f t="shared" ca="1" si="75"/>
        <v>10.459552986872529</v>
      </c>
      <c r="AE122" s="24">
        <f t="shared" ca="1" si="75"/>
        <v>10.675439399606301</v>
      </c>
      <c r="AF122" s="24">
        <f t="shared" ca="1" si="75"/>
        <v>10.893490457981287</v>
      </c>
      <c r="AG122" s="24">
        <f t="shared" ca="1" si="75"/>
        <v>11.11370616199749</v>
      </c>
      <c r="AH122" s="24">
        <f t="shared" ca="1" si="75"/>
        <v>11.321379275106709</v>
      </c>
      <c r="AI122" s="24">
        <f t="shared" ca="1" si="75"/>
        <v>11.530972493177902</v>
      </c>
      <c r="AJ122" s="24">
        <f t="shared" ca="1" si="75"/>
        <v>11.742485816211069</v>
      </c>
      <c r="AK122" s="24">
        <f t="shared" ca="1" si="75"/>
        <v>11.955919244206212</v>
      </c>
      <c r="AL122" s="24">
        <f t="shared" ca="1" si="75"/>
        <v>12.171272777163326</v>
      </c>
      <c r="AM122" s="24">
        <f t="shared" ca="1" si="75"/>
        <v>13.34074607621249</v>
      </c>
      <c r="AN122" s="24">
        <f t="shared" ca="1" si="75"/>
        <v>14.340425717484573</v>
      </c>
      <c r="AO122" s="24">
        <f t="shared" ca="1" si="75"/>
        <v>14.340425717484573</v>
      </c>
      <c r="AP122" s="24">
        <f t="shared" ca="1" si="75"/>
        <v>14.340425717484573</v>
      </c>
      <c r="AQ122" s="6"/>
      <c r="AR122" s="228"/>
      <c r="AS122" s="228"/>
      <c r="AT122" s="227"/>
      <c r="AU122" s="6"/>
      <c r="AV122" s="6"/>
      <c r="BB122" s="4">
        <f t="shared" si="51"/>
        <v>3</v>
      </c>
    </row>
    <row r="123" spans="1:54">
      <c r="A123" s="22" t="str">
        <f>'[6]TS BYDem'!A37</f>
        <v/>
      </c>
      <c r="B123" s="22" t="str">
        <f>'[6]TS BYDem'!B37</f>
        <v>COM_PROJ</v>
      </c>
      <c r="C123" s="22" t="str">
        <f>'[6]TS BYDem'!C37</f>
        <v>-</v>
      </c>
      <c r="D123" s="22" t="str">
        <f>'[6]TS BYDem'!D37</f>
        <v>RHER</v>
      </c>
      <c r="E123" s="132" t="s">
        <v>138</v>
      </c>
      <c r="F123" s="132" t="s">
        <v>138</v>
      </c>
      <c r="G123" s="132" t="s">
        <v>138</v>
      </c>
      <c r="H123" s="132" t="s">
        <v>138</v>
      </c>
      <c r="I123" s="132">
        <v>0</v>
      </c>
      <c r="J123" s="6">
        <f>'[6]TS BYDem'!J37</f>
        <v>5.2199769796058071</v>
      </c>
      <c r="K123" s="24">
        <f t="shared" si="47"/>
        <v>5.5365127481796916</v>
      </c>
      <c r="L123" s="24">
        <f t="shared" si="47"/>
        <v>5.8530485167535753</v>
      </c>
      <c r="M123" s="24">
        <f t="shared" si="47"/>
        <v>6.1695842853274598</v>
      </c>
      <c r="N123" s="24">
        <f t="shared" si="47"/>
        <v>6.4861200539013435</v>
      </c>
      <c r="O123" s="24">
        <f>'[6]TS BYDem'!O37</f>
        <v>6.802655822475228</v>
      </c>
      <c r="P123" s="24">
        <f t="shared" ref="P123:AP123" ca="1" si="76">OFFSET(P$33,$BB123,$J$93)/OFFSET(O$33,$BB123,$J$93)*O123</f>
        <v>6.9705344191588772</v>
      </c>
      <c r="Q123" s="24">
        <f t="shared" ca="1" si="76"/>
        <v>7.1403651303056792</v>
      </c>
      <c r="R123" s="24">
        <f t="shared" ca="1" si="76"/>
        <v>7.3121479559156324</v>
      </c>
      <c r="S123" s="24">
        <f t="shared" ca="1" si="76"/>
        <v>7.4479934249517532</v>
      </c>
      <c r="T123" s="24">
        <f t="shared" ca="1" si="76"/>
        <v>7.5850884046836828</v>
      </c>
      <c r="U123" s="24">
        <f t="shared" ca="1" si="76"/>
        <v>7.723432895111416</v>
      </c>
      <c r="V123" s="24">
        <f t="shared" ca="1" si="76"/>
        <v>7.8630268962349588</v>
      </c>
      <c r="W123" s="24">
        <f t="shared" ca="1" si="76"/>
        <v>8.0038704080543166</v>
      </c>
      <c r="X123" s="24">
        <f t="shared" ca="1" si="76"/>
        <v>8.2015056271171609</v>
      </c>
      <c r="Y123" s="24">
        <f t="shared" ca="1" si="76"/>
        <v>8.4014546952127276</v>
      </c>
      <c r="Z123" s="24">
        <f t="shared" ca="1" si="76"/>
        <v>8.6037176123410202</v>
      </c>
      <c r="AA123" s="24">
        <f t="shared" ca="1" si="76"/>
        <v>8.8082943785020351</v>
      </c>
      <c r="AB123" s="24">
        <f t="shared" ca="1" si="76"/>
        <v>9.0151849936957653</v>
      </c>
      <c r="AC123" s="24">
        <f t="shared" ca="1" si="76"/>
        <v>9.2052562004346115</v>
      </c>
      <c r="AD123" s="24">
        <f t="shared" ca="1" si="76"/>
        <v>9.3972722096285324</v>
      </c>
      <c r="AE123" s="24">
        <f t="shared" ca="1" si="76"/>
        <v>9.5912330212775281</v>
      </c>
      <c r="AF123" s="24">
        <f t="shared" ca="1" si="76"/>
        <v>9.7871386353816003</v>
      </c>
      <c r="AG123" s="24">
        <f t="shared" ca="1" si="76"/>
        <v>9.9849890519407509</v>
      </c>
      <c r="AH123" s="24">
        <f t="shared" ca="1" si="76"/>
        <v>10.171570713409235</v>
      </c>
      <c r="AI123" s="24">
        <f t="shared" ca="1" si="76"/>
        <v>10.359877472405438</v>
      </c>
      <c r="AJ123" s="24">
        <f t="shared" ca="1" si="76"/>
        <v>10.549909328929363</v>
      </c>
      <c r="AK123" s="24">
        <f t="shared" ca="1" si="76"/>
        <v>10.741666282981013</v>
      </c>
      <c r="AL123" s="24">
        <f t="shared" ca="1" si="76"/>
        <v>10.935148334560381</v>
      </c>
      <c r="AM123" s="24">
        <f t="shared" ca="1" si="76"/>
        <v>11.985848966494686</v>
      </c>
      <c r="AN123" s="24">
        <f t="shared" ca="1" si="76"/>
        <v>12.884000323751351</v>
      </c>
      <c r="AO123" s="24">
        <f t="shared" ca="1" si="76"/>
        <v>12.884000323751351</v>
      </c>
      <c r="AP123" s="24">
        <f t="shared" ca="1" si="76"/>
        <v>12.884000323751351</v>
      </c>
      <c r="AQ123" s="6"/>
      <c r="AR123" s="228"/>
      <c r="AS123" s="228"/>
      <c r="AT123" s="227"/>
      <c r="AU123" s="6"/>
      <c r="AV123" s="6"/>
      <c r="BB123" s="4">
        <f t="shared" si="51"/>
        <v>3</v>
      </c>
    </row>
    <row r="124" spans="1:54">
      <c r="A124" s="22" t="str">
        <f>'[6]TS BYDem'!A38</f>
        <v/>
      </c>
      <c r="B124" s="22" t="str">
        <f>'[6]TS BYDem'!B38</f>
        <v>COM_PROJ</v>
      </c>
      <c r="C124" s="22" t="str">
        <f>'[6]TS BYDem'!C38</f>
        <v>-</v>
      </c>
      <c r="D124" s="22" t="str">
        <f>'[6]TS BYDem'!D38</f>
        <v>RHEO</v>
      </c>
      <c r="E124" s="132" t="s">
        <v>138</v>
      </c>
      <c r="F124" s="132" t="s">
        <v>138</v>
      </c>
      <c r="G124" s="132" t="s">
        <v>138</v>
      </c>
      <c r="H124" s="132" t="s">
        <v>138</v>
      </c>
      <c r="I124" s="132">
        <v>0</v>
      </c>
      <c r="J124" s="6">
        <f>'[6]TS BYDem'!J38</f>
        <v>11.683546033026639</v>
      </c>
      <c r="K124" s="24">
        <f t="shared" si="47"/>
        <v>12.392028127426933</v>
      </c>
      <c r="L124" s="24">
        <f t="shared" si="47"/>
        <v>13.100510221827227</v>
      </c>
      <c r="M124" s="24">
        <f t="shared" si="47"/>
        <v>13.808992316227521</v>
      </c>
      <c r="N124" s="24">
        <f t="shared" si="47"/>
        <v>14.517474410627814</v>
      </c>
      <c r="O124" s="24">
        <f>'[6]TS BYDem'!O38</f>
        <v>15.225956505028108</v>
      </c>
      <c r="P124" s="24">
        <f t="shared" ref="P124:AP124" ca="1" si="77">OFFSET(P$33,$BB124,$J$93)/OFFSET(O$33,$BB124,$J$93)*O124</f>
        <v>15.60170860508075</v>
      </c>
      <c r="Q124" s="24">
        <f t="shared" ca="1" si="77"/>
        <v>15.98183000010942</v>
      </c>
      <c r="R124" s="24">
        <f t="shared" ca="1" si="77"/>
        <v>16.366320690114119</v>
      </c>
      <c r="S124" s="24">
        <f t="shared" ca="1" si="77"/>
        <v>16.670375056074459</v>
      </c>
      <c r="T124" s="24">
        <f t="shared" ca="1" si="77"/>
        <v>16.97722612320614</v>
      </c>
      <c r="U124" s="24">
        <f t="shared" ca="1" si="77"/>
        <v>17.286873891509153</v>
      </c>
      <c r="V124" s="24">
        <f t="shared" ca="1" si="77"/>
        <v>17.599318360983506</v>
      </c>
      <c r="W124" s="24">
        <f t="shared" ca="1" si="77"/>
        <v>17.914559531629219</v>
      </c>
      <c r="X124" s="24">
        <f t="shared" ca="1" si="77"/>
        <v>18.356914007269534</v>
      </c>
      <c r="Y124" s="24">
        <f t="shared" ca="1" si="77"/>
        <v>18.804447425612647</v>
      </c>
      <c r="Z124" s="24">
        <f t="shared" ca="1" si="77"/>
        <v>19.257159786658558</v>
      </c>
      <c r="AA124" s="24">
        <f t="shared" ca="1" si="77"/>
        <v>19.715051090407265</v>
      </c>
      <c r="AB124" s="24">
        <f t="shared" ca="1" si="77"/>
        <v>20.178121336858752</v>
      </c>
      <c r="AC124" s="24">
        <f t="shared" ca="1" si="77"/>
        <v>20.603545759641158</v>
      </c>
      <c r="AD124" s="24">
        <f t="shared" ca="1" si="77"/>
        <v>21.033323111391983</v>
      </c>
      <c r="AE124" s="24">
        <f t="shared" ca="1" si="77"/>
        <v>21.467453392111224</v>
      </c>
      <c r="AF124" s="24">
        <f t="shared" ca="1" si="77"/>
        <v>21.905936601798889</v>
      </c>
      <c r="AG124" s="24">
        <f t="shared" ca="1" si="77"/>
        <v>22.348772740454983</v>
      </c>
      <c r="AH124" s="24">
        <f t="shared" ca="1" si="77"/>
        <v>22.766386733620571</v>
      </c>
      <c r="AI124" s="24">
        <f t="shared" ca="1" si="77"/>
        <v>23.18786190403949</v>
      </c>
      <c r="AJ124" s="24">
        <f t="shared" ca="1" si="77"/>
        <v>23.613198251711747</v>
      </c>
      <c r="AK124" s="24">
        <f t="shared" ca="1" si="77"/>
        <v>24.042395776637349</v>
      </c>
      <c r="AL124" s="24">
        <f t="shared" ca="1" si="77"/>
        <v>24.475454478816278</v>
      </c>
      <c r="AM124" s="24">
        <f t="shared" ca="1" si="77"/>
        <v>26.827171593297052</v>
      </c>
      <c r="AN124" s="24">
        <f t="shared" ca="1" si="77"/>
        <v>28.837447264651839</v>
      </c>
      <c r="AO124" s="24">
        <f t="shared" ca="1" si="77"/>
        <v>28.837447264651839</v>
      </c>
      <c r="AP124" s="24">
        <f t="shared" ca="1" si="77"/>
        <v>28.837447264651839</v>
      </c>
      <c r="AQ124" s="6"/>
      <c r="AR124" s="228"/>
      <c r="AS124" s="228"/>
      <c r="AT124" s="227"/>
      <c r="AU124" s="6"/>
      <c r="AV124" s="6"/>
      <c r="BB124" s="4">
        <f t="shared" si="51"/>
        <v>3</v>
      </c>
    </row>
    <row r="125" spans="1:54">
      <c r="A125" s="22" t="str">
        <f>'[6]TS BYDem'!A39</f>
        <v>*</v>
      </c>
      <c r="B125" s="22" t="str">
        <f>'[6]TS BYDem'!B39</f>
        <v>COM_PROJ</v>
      </c>
      <c r="C125" s="22" t="str">
        <f>'[6]TS BYDem'!C39</f>
        <v>-</v>
      </c>
      <c r="D125" s="22">
        <f>'[6]TS BYDem'!D39</f>
        <v>0</v>
      </c>
      <c r="E125" s="132" t="s">
        <v>138</v>
      </c>
      <c r="F125" s="132" t="s">
        <v>138</v>
      </c>
      <c r="G125" s="132" t="s">
        <v>138</v>
      </c>
      <c r="H125" s="132" t="s">
        <v>138</v>
      </c>
      <c r="I125" s="132">
        <v>0</v>
      </c>
      <c r="J125" s="6">
        <f>'[6]TS BYDem'!J39</f>
        <v>0</v>
      </c>
      <c r="K125" s="24">
        <f t="shared" si="47"/>
        <v>0</v>
      </c>
      <c r="L125" s="24">
        <f t="shared" si="47"/>
        <v>0</v>
      </c>
      <c r="M125" s="24">
        <f t="shared" si="47"/>
        <v>0</v>
      </c>
      <c r="N125" s="24">
        <f t="shared" si="47"/>
        <v>0</v>
      </c>
      <c r="O125" s="24">
        <f>'[6]TS BYDem'!O39</f>
        <v>0</v>
      </c>
      <c r="P125" s="24" t="e">
        <f t="shared" ref="P125:AP125" ca="1" si="78">OFFSET(P$33,$BB125,$J$93)/OFFSET(O$33,$BB125,$J$93)*O125</f>
        <v>#N/A</v>
      </c>
      <c r="Q125" s="24" t="e">
        <f t="shared" ca="1" si="78"/>
        <v>#N/A</v>
      </c>
      <c r="R125" s="24" t="e">
        <f t="shared" ca="1" si="78"/>
        <v>#N/A</v>
      </c>
      <c r="S125" s="24" t="e">
        <f t="shared" ca="1" si="78"/>
        <v>#N/A</v>
      </c>
      <c r="T125" s="24" t="e">
        <f t="shared" ca="1" si="78"/>
        <v>#N/A</v>
      </c>
      <c r="U125" s="24" t="e">
        <f t="shared" ca="1" si="78"/>
        <v>#N/A</v>
      </c>
      <c r="V125" s="24" t="e">
        <f t="shared" ca="1" si="78"/>
        <v>#N/A</v>
      </c>
      <c r="W125" s="24" t="e">
        <f t="shared" ca="1" si="78"/>
        <v>#N/A</v>
      </c>
      <c r="X125" s="24" t="e">
        <f t="shared" ca="1" si="78"/>
        <v>#N/A</v>
      </c>
      <c r="Y125" s="24" t="e">
        <f t="shared" ca="1" si="78"/>
        <v>#N/A</v>
      </c>
      <c r="Z125" s="24" t="e">
        <f t="shared" ca="1" si="78"/>
        <v>#N/A</v>
      </c>
      <c r="AA125" s="24" t="e">
        <f t="shared" ca="1" si="78"/>
        <v>#N/A</v>
      </c>
      <c r="AB125" s="24" t="e">
        <f t="shared" ca="1" si="78"/>
        <v>#N/A</v>
      </c>
      <c r="AC125" s="24" t="e">
        <f t="shared" ca="1" si="78"/>
        <v>#N/A</v>
      </c>
      <c r="AD125" s="24" t="e">
        <f t="shared" ca="1" si="78"/>
        <v>#N/A</v>
      </c>
      <c r="AE125" s="24" t="e">
        <f t="shared" ca="1" si="78"/>
        <v>#N/A</v>
      </c>
      <c r="AF125" s="24" t="e">
        <f t="shared" ca="1" si="78"/>
        <v>#N/A</v>
      </c>
      <c r="AG125" s="24" t="e">
        <f t="shared" ca="1" si="78"/>
        <v>#N/A</v>
      </c>
      <c r="AH125" s="24" t="e">
        <f t="shared" ca="1" si="78"/>
        <v>#N/A</v>
      </c>
      <c r="AI125" s="24" t="e">
        <f t="shared" ca="1" si="78"/>
        <v>#N/A</v>
      </c>
      <c r="AJ125" s="24" t="e">
        <f t="shared" ca="1" si="78"/>
        <v>#N/A</v>
      </c>
      <c r="AK125" s="24" t="e">
        <f t="shared" ca="1" si="78"/>
        <v>#N/A</v>
      </c>
      <c r="AL125" s="24" t="e">
        <f t="shared" ca="1" si="78"/>
        <v>#N/A</v>
      </c>
      <c r="AM125" s="24" t="e">
        <f t="shared" ca="1" si="78"/>
        <v>#N/A</v>
      </c>
      <c r="AN125" s="24" t="e">
        <f t="shared" ca="1" si="78"/>
        <v>#N/A</v>
      </c>
      <c r="AO125" s="24" t="e">
        <f t="shared" ca="1" si="78"/>
        <v>#N/A</v>
      </c>
      <c r="AP125" s="24" t="e">
        <f t="shared" ca="1" si="78"/>
        <v>#N/A</v>
      </c>
      <c r="AQ125" s="6"/>
      <c r="AR125" s="6"/>
      <c r="AS125" s="6"/>
      <c r="AT125" s="6"/>
      <c r="AU125" s="6"/>
      <c r="AV125" s="6"/>
      <c r="BB125" s="4" t="e">
        <f t="shared" si="51"/>
        <v>#N/A</v>
      </c>
    </row>
    <row r="126" spans="1:54">
      <c r="A126" s="22" t="str">
        <f>'[6]TS BYDem'!A40</f>
        <v>*</v>
      </c>
      <c r="B126" s="22" t="str">
        <f>'[6]TS BYDem'!B40</f>
        <v>COM_PROJ</v>
      </c>
      <c r="C126" s="22" t="str">
        <f>'[6]TS BYDem'!C40</f>
        <v>-</v>
      </c>
      <c r="D126" s="22">
        <f>'[6]TS BYDem'!D40</f>
        <v>0</v>
      </c>
      <c r="E126" s="132" t="s">
        <v>138</v>
      </c>
      <c r="F126" s="132" t="s">
        <v>138</v>
      </c>
      <c r="G126" s="132" t="s">
        <v>138</v>
      </c>
      <c r="H126" s="132" t="s">
        <v>138</v>
      </c>
      <c r="I126" s="132">
        <v>0</v>
      </c>
      <c r="J126" s="6">
        <f>'[6]TS BYDem'!J40</f>
        <v>0</v>
      </c>
      <c r="K126" s="24">
        <f t="shared" si="47"/>
        <v>0</v>
      </c>
      <c r="L126" s="24">
        <f t="shared" si="47"/>
        <v>0</v>
      </c>
      <c r="M126" s="24">
        <f t="shared" si="47"/>
        <v>0</v>
      </c>
      <c r="N126" s="24">
        <f t="shared" si="47"/>
        <v>0</v>
      </c>
      <c r="O126" s="24">
        <f>'[6]TS BYDem'!O40</f>
        <v>0</v>
      </c>
      <c r="P126" s="24" t="e">
        <f t="shared" ref="P126:AP126" ca="1" si="79">OFFSET(P$33,$BB126,$J$93)/OFFSET(O$33,$BB126,$J$93)*O126</f>
        <v>#N/A</v>
      </c>
      <c r="Q126" s="24" t="e">
        <f t="shared" ca="1" si="79"/>
        <v>#N/A</v>
      </c>
      <c r="R126" s="24" t="e">
        <f t="shared" ca="1" si="79"/>
        <v>#N/A</v>
      </c>
      <c r="S126" s="24" t="e">
        <f t="shared" ca="1" si="79"/>
        <v>#N/A</v>
      </c>
      <c r="T126" s="24" t="e">
        <f t="shared" ca="1" si="79"/>
        <v>#N/A</v>
      </c>
      <c r="U126" s="24" t="e">
        <f t="shared" ca="1" si="79"/>
        <v>#N/A</v>
      </c>
      <c r="V126" s="24" t="e">
        <f t="shared" ca="1" si="79"/>
        <v>#N/A</v>
      </c>
      <c r="W126" s="24" t="e">
        <f t="shared" ca="1" si="79"/>
        <v>#N/A</v>
      </c>
      <c r="X126" s="24" t="e">
        <f t="shared" ca="1" si="79"/>
        <v>#N/A</v>
      </c>
      <c r="Y126" s="24" t="e">
        <f t="shared" ca="1" si="79"/>
        <v>#N/A</v>
      </c>
      <c r="Z126" s="24" t="e">
        <f t="shared" ca="1" si="79"/>
        <v>#N/A</v>
      </c>
      <c r="AA126" s="24" t="e">
        <f t="shared" ca="1" si="79"/>
        <v>#N/A</v>
      </c>
      <c r="AB126" s="24" t="e">
        <f t="shared" ca="1" si="79"/>
        <v>#N/A</v>
      </c>
      <c r="AC126" s="24" t="e">
        <f t="shared" ca="1" si="79"/>
        <v>#N/A</v>
      </c>
      <c r="AD126" s="24" t="e">
        <f t="shared" ca="1" si="79"/>
        <v>#N/A</v>
      </c>
      <c r="AE126" s="24" t="e">
        <f t="shared" ca="1" si="79"/>
        <v>#N/A</v>
      </c>
      <c r="AF126" s="24" t="e">
        <f t="shared" ca="1" si="79"/>
        <v>#N/A</v>
      </c>
      <c r="AG126" s="24" t="e">
        <f t="shared" ca="1" si="79"/>
        <v>#N/A</v>
      </c>
      <c r="AH126" s="24" t="e">
        <f t="shared" ca="1" si="79"/>
        <v>#N/A</v>
      </c>
      <c r="AI126" s="24" t="e">
        <f t="shared" ca="1" si="79"/>
        <v>#N/A</v>
      </c>
      <c r="AJ126" s="24" t="e">
        <f t="shared" ca="1" si="79"/>
        <v>#N/A</v>
      </c>
      <c r="AK126" s="24" t="e">
        <f t="shared" ca="1" si="79"/>
        <v>#N/A</v>
      </c>
      <c r="AL126" s="24" t="e">
        <f t="shared" ca="1" si="79"/>
        <v>#N/A</v>
      </c>
      <c r="AM126" s="24" t="e">
        <f t="shared" ca="1" si="79"/>
        <v>#N/A</v>
      </c>
      <c r="AN126" s="24" t="e">
        <f t="shared" ca="1" si="79"/>
        <v>#N/A</v>
      </c>
      <c r="AO126" s="24" t="e">
        <f t="shared" ca="1" si="79"/>
        <v>#N/A</v>
      </c>
      <c r="AP126" s="24" t="e">
        <f t="shared" ca="1" si="79"/>
        <v>#N/A</v>
      </c>
      <c r="AQ126" s="6"/>
      <c r="AR126" s="6"/>
      <c r="AS126" s="6"/>
      <c r="AT126" s="6"/>
      <c r="AU126" s="6"/>
      <c r="AV126" s="6"/>
      <c r="BB126" s="4" t="e">
        <f t="shared" si="51"/>
        <v>#N/A</v>
      </c>
    </row>
    <row r="127" spans="1:54">
      <c r="A127" s="22" t="str">
        <f>'[6]TS BYDem'!A41</f>
        <v>*</v>
      </c>
      <c r="B127" s="22" t="str">
        <f>'[6]TS BYDem'!B41</f>
        <v>COM_PROJ</v>
      </c>
      <c r="C127" s="22" t="str">
        <f>'[6]TS BYDem'!C41</f>
        <v>-</v>
      </c>
      <c r="D127" s="22">
        <f>'[6]TS BYDem'!D41</f>
        <v>0</v>
      </c>
      <c r="E127" s="132" t="s">
        <v>138</v>
      </c>
      <c r="F127" s="132" t="s">
        <v>138</v>
      </c>
      <c r="G127" s="132" t="s">
        <v>138</v>
      </c>
      <c r="H127" s="132" t="s">
        <v>138</v>
      </c>
      <c r="I127" s="132">
        <v>0</v>
      </c>
      <c r="J127" s="6">
        <f>'[6]TS BYDem'!J41</f>
        <v>0</v>
      </c>
      <c r="K127" s="24">
        <f t="shared" si="47"/>
        <v>0</v>
      </c>
      <c r="L127" s="24">
        <f t="shared" si="47"/>
        <v>0</v>
      </c>
      <c r="M127" s="24">
        <f t="shared" si="47"/>
        <v>0</v>
      </c>
      <c r="N127" s="24">
        <f t="shared" si="47"/>
        <v>0</v>
      </c>
      <c r="O127" s="24">
        <f>'[6]TS BYDem'!O41</f>
        <v>0</v>
      </c>
      <c r="P127" s="24">
        <f t="shared" ref="P127:AP127" ca="1" si="80">IF($E$78=1, P90, P84)</f>
        <v>0</v>
      </c>
      <c r="Q127" s="24">
        <f t="shared" ca="1" si="80"/>
        <v>0</v>
      </c>
      <c r="R127" s="24">
        <f t="shared" ca="1" si="80"/>
        <v>0</v>
      </c>
      <c r="S127" s="24">
        <f t="shared" ca="1" si="80"/>
        <v>0</v>
      </c>
      <c r="T127" s="24">
        <f t="shared" ca="1" si="80"/>
        <v>0</v>
      </c>
      <c r="U127" s="24">
        <f t="shared" ca="1" si="80"/>
        <v>0</v>
      </c>
      <c r="V127" s="24">
        <f t="shared" ca="1" si="80"/>
        <v>0</v>
      </c>
      <c r="W127" s="24">
        <f t="shared" ca="1" si="80"/>
        <v>0</v>
      </c>
      <c r="X127" s="24">
        <f t="shared" ca="1" si="80"/>
        <v>0</v>
      </c>
      <c r="Y127" s="24">
        <f t="shared" ca="1" si="80"/>
        <v>0</v>
      </c>
      <c r="Z127" s="24">
        <f t="shared" ca="1" si="80"/>
        <v>0</v>
      </c>
      <c r="AA127" s="24">
        <f t="shared" ca="1" si="80"/>
        <v>0</v>
      </c>
      <c r="AB127" s="24">
        <f t="shared" ca="1" si="80"/>
        <v>0</v>
      </c>
      <c r="AC127" s="24">
        <f t="shared" ca="1" si="80"/>
        <v>0</v>
      </c>
      <c r="AD127" s="24">
        <f t="shared" ca="1" si="80"/>
        <v>0</v>
      </c>
      <c r="AE127" s="24">
        <f t="shared" ca="1" si="80"/>
        <v>0</v>
      </c>
      <c r="AF127" s="24">
        <f t="shared" ca="1" si="80"/>
        <v>0</v>
      </c>
      <c r="AG127" s="24">
        <f t="shared" ca="1" si="80"/>
        <v>0</v>
      </c>
      <c r="AH127" s="24">
        <f t="shared" ca="1" si="80"/>
        <v>0</v>
      </c>
      <c r="AI127" s="24">
        <f t="shared" ca="1" si="80"/>
        <v>0</v>
      </c>
      <c r="AJ127" s="24">
        <f t="shared" ca="1" si="80"/>
        <v>0</v>
      </c>
      <c r="AK127" s="24">
        <f t="shared" ca="1" si="80"/>
        <v>0</v>
      </c>
      <c r="AL127" s="24">
        <f t="shared" ca="1" si="80"/>
        <v>0</v>
      </c>
      <c r="AM127" s="24">
        <f t="shared" ca="1" si="80"/>
        <v>0</v>
      </c>
      <c r="AN127" s="24">
        <f t="shared" ca="1" si="80"/>
        <v>0</v>
      </c>
      <c r="AO127" s="24">
        <f t="shared" ca="1" si="80"/>
        <v>0</v>
      </c>
      <c r="AP127" s="24">
        <f t="shared" ca="1" si="80"/>
        <v>0</v>
      </c>
      <c r="AQ127" s="6"/>
      <c r="AR127" s="6"/>
      <c r="AS127" s="6"/>
      <c r="AT127" s="6"/>
      <c r="AU127" s="6"/>
      <c r="AV127" s="6"/>
      <c r="BB127" s="4" t="e">
        <f t="shared" si="51"/>
        <v>#N/A</v>
      </c>
    </row>
    <row r="128" spans="1:54">
      <c r="A128" s="22" t="str">
        <f>'[6]TS BYDem'!A42</f>
        <v>*</v>
      </c>
      <c r="B128" s="22" t="str">
        <f>'[6]TS BYDem'!B42</f>
        <v>COM_PROJ</v>
      </c>
      <c r="C128" s="22" t="str">
        <f>'[6]TS BYDem'!C42</f>
        <v>-</v>
      </c>
      <c r="D128" s="22">
        <f>'[6]TS BYDem'!D42</f>
        <v>0</v>
      </c>
      <c r="E128" s="132" t="s">
        <v>138</v>
      </c>
      <c r="F128" s="132" t="s">
        <v>138</v>
      </c>
      <c r="G128" s="132" t="s">
        <v>138</v>
      </c>
      <c r="H128" s="132" t="s">
        <v>138</v>
      </c>
      <c r="I128" s="132">
        <v>0</v>
      </c>
      <c r="J128" s="6">
        <f>'[6]TS BYDem'!J42</f>
        <v>0</v>
      </c>
      <c r="K128" s="24">
        <f t="shared" si="47"/>
        <v>0</v>
      </c>
      <c r="L128" s="24">
        <f t="shared" si="47"/>
        <v>0</v>
      </c>
      <c r="M128" s="24">
        <f t="shared" si="47"/>
        <v>0</v>
      </c>
      <c r="N128" s="24">
        <f t="shared" si="47"/>
        <v>0</v>
      </c>
      <c r="O128" s="24">
        <f>'[6]TS BYDem'!O42</f>
        <v>0</v>
      </c>
      <c r="P128" s="24" t="e">
        <f t="shared" ref="P128:AP128" ca="1" si="81">OFFSET(P$33,$BB128,$J$93)/OFFSET(O$33,$BB128,$J$93)*O128</f>
        <v>#N/A</v>
      </c>
      <c r="Q128" s="24" t="e">
        <f t="shared" ca="1" si="81"/>
        <v>#N/A</v>
      </c>
      <c r="R128" s="24" t="e">
        <f t="shared" ca="1" si="81"/>
        <v>#N/A</v>
      </c>
      <c r="S128" s="24" t="e">
        <f t="shared" ca="1" si="81"/>
        <v>#N/A</v>
      </c>
      <c r="T128" s="24" t="e">
        <f t="shared" ca="1" si="81"/>
        <v>#N/A</v>
      </c>
      <c r="U128" s="24" t="e">
        <f t="shared" ca="1" si="81"/>
        <v>#N/A</v>
      </c>
      <c r="V128" s="24" t="e">
        <f t="shared" ca="1" si="81"/>
        <v>#N/A</v>
      </c>
      <c r="W128" s="24" t="e">
        <f t="shared" ca="1" si="81"/>
        <v>#N/A</v>
      </c>
      <c r="X128" s="24" t="e">
        <f t="shared" ca="1" si="81"/>
        <v>#N/A</v>
      </c>
      <c r="Y128" s="24" t="e">
        <f t="shared" ca="1" si="81"/>
        <v>#N/A</v>
      </c>
      <c r="Z128" s="24" t="e">
        <f t="shared" ca="1" si="81"/>
        <v>#N/A</v>
      </c>
      <c r="AA128" s="24" t="e">
        <f t="shared" ca="1" si="81"/>
        <v>#N/A</v>
      </c>
      <c r="AB128" s="24" t="e">
        <f t="shared" ca="1" si="81"/>
        <v>#N/A</v>
      </c>
      <c r="AC128" s="24" t="e">
        <f t="shared" ca="1" si="81"/>
        <v>#N/A</v>
      </c>
      <c r="AD128" s="24" t="e">
        <f t="shared" ca="1" si="81"/>
        <v>#N/A</v>
      </c>
      <c r="AE128" s="24" t="e">
        <f t="shared" ca="1" si="81"/>
        <v>#N/A</v>
      </c>
      <c r="AF128" s="24" t="e">
        <f t="shared" ca="1" si="81"/>
        <v>#N/A</v>
      </c>
      <c r="AG128" s="24" t="e">
        <f t="shared" ca="1" si="81"/>
        <v>#N/A</v>
      </c>
      <c r="AH128" s="24" t="e">
        <f t="shared" ca="1" si="81"/>
        <v>#N/A</v>
      </c>
      <c r="AI128" s="24" t="e">
        <f t="shared" ca="1" si="81"/>
        <v>#N/A</v>
      </c>
      <c r="AJ128" s="24" t="e">
        <f t="shared" ca="1" si="81"/>
        <v>#N/A</v>
      </c>
      <c r="AK128" s="24" t="e">
        <f t="shared" ca="1" si="81"/>
        <v>#N/A</v>
      </c>
      <c r="AL128" s="24" t="e">
        <f t="shared" ca="1" si="81"/>
        <v>#N/A</v>
      </c>
      <c r="AM128" s="24" t="e">
        <f t="shared" ca="1" si="81"/>
        <v>#N/A</v>
      </c>
      <c r="AN128" s="24" t="e">
        <f t="shared" ca="1" si="81"/>
        <v>#N/A</v>
      </c>
      <c r="AO128" s="24" t="e">
        <f t="shared" ca="1" si="81"/>
        <v>#N/A</v>
      </c>
      <c r="AP128" s="24" t="e">
        <f t="shared" ca="1" si="81"/>
        <v>#N/A</v>
      </c>
      <c r="AQ128" s="6"/>
      <c r="AR128" s="6"/>
      <c r="AS128" s="6"/>
      <c r="AT128" s="6"/>
      <c r="AU128" s="6"/>
      <c r="AV128" s="6"/>
      <c r="BB128" s="4" t="e">
        <f t="shared" si="51"/>
        <v>#N/A</v>
      </c>
    </row>
    <row r="129" spans="1:54">
      <c r="A129" s="22" t="str">
        <f>'[6]TS BYDem'!A43</f>
        <v>*</v>
      </c>
      <c r="B129" s="22" t="str">
        <f>'[6]TS BYDem'!B43</f>
        <v>COM_PROJ</v>
      </c>
      <c r="C129" s="22" t="str">
        <f>'[6]TS BYDem'!C43</f>
        <v>-</v>
      </c>
      <c r="D129" s="22">
        <f>'[6]TS BYDem'!D43</f>
        <v>0</v>
      </c>
      <c r="E129" s="132" t="s">
        <v>138</v>
      </c>
      <c r="F129" s="132" t="s">
        <v>138</v>
      </c>
      <c r="G129" s="132" t="s">
        <v>138</v>
      </c>
      <c r="H129" s="132" t="s">
        <v>138</v>
      </c>
      <c r="I129" s="132">
        <v>0</v>
      </c>
      <c r="J129" s="6">
        <f>'[6]TS BYDem'!J43</f>
        <v>0</v>
      </c>
      <c r="K129" s="24">
        <f t="shared" si="47"/>
        <v>0</v>
      </c>
      <c r="L129" s="24">
        <f t="shared" si="47"/>
        <v>0</v>
      </c>
      <c r="M129" s="24">
        <f t="shared" si="47"/>
        <v>0</v>
      </c>
      <c r="N129" s="24">
        <f t="shared" si="47"/>
        <v>0</v>
      </c>
      <c r="O129" s="24">
        <f>'[6]TS BYDem'!O43</f>
        <v>0</v>
      </c>
      <c r="P129" s="24" t="e">
        <f t="shared" ref="P129:AP129" ca="1" si="82">OFFSET(P$33,$BB129,$J$93)/OFFSET(O$33,$BB129,$J$93)*O129</f>
        <v>#N/A</v>
      </c>
      <c r="Q129" s="24" t="e">
        <f t="shared" ca="1" si="82"/>
        <v>#N/A</v>
      </c>
      <c r="R129" s="24" t="e">
        <f t="shared" ca="1" si="82"/>
        <v>#N/A</v>
      </c>
      <c r="S129" s="24" t="e">
        <f t="shared" ca="1" si="82"/>
        <v>#N/A</v>
      </c>
      <c r="T129" s="24" t="e">
        <f t="shared" ca="1" si="82"/>
        <v>#N/A</v>
      </c>
      <c r="U129" s="24" t="e">
        <f t="shared" ca="1" si="82"/>
        <v>#N/A</v>
      </c>
      <c r="V129" s="24" t="e">
        <f t="shared" ca="1" si="82"/>
        <v>#N/A</v>
      </c>
      <c r="W129" s="24" t="e">
        <f t="shared" ca="1" si="82"/>
        <v>#N/A</v>
      </c>
      <c r="X129" s="24" t="e">
        <f t="shared" ca="1" si="82"/>
        <v>#N/A</v>
      </c>
      <c r="Y129" s="24" t="e">
        <f t="shared" ca="1" si="82"/>
        <v>#N/A</v>
      </c>
      <c r="Z129" s="24" t="e">
        <f t="shared" ca="1" si="82"/>
        <v>#N/A</v>
      </c>
      <c r="AA129" s="24" t="e">
        <f t="shared" ca="1" si="82"/>
        <v>#N/A</v>
      </c>
      <c r="AB129" s="24" t="e">
        <f t="shared" ca="1" si="82"/>
        <v>#N/A</v>
      </c>
      <c r="AC129" s="24" t="e">
        <f t="shared" ca="1" si="82"/>
        <v>#N/A</v>
      </c>
      <c r="AD129" s="24" t="e">
        <f t="shared" ca="1" si="82"/>
        <v>#N/A</v>
      </c>
      <c r="AE129" s="24" t="e">
        <f t="shared" ca="1" si="82"/>
        <v>#N/A</v>
      </c>
      <c r="AF129" s="24" t="e">
        <f t="shared" ca="1" si="82"/>
        <v>#N/A</v>
      </c>
      <c r="AG129" s="24" t="e">
        <f t="shared" ca="1" si="82"/>
        <v>#N/A</v>
      </c>
      <c r="AH129" s="24" t="e">
        <f t="shared" ca="1" si="82"/>
        <v>#N/A</v>
      </c>
      <c r="AI129" s="24" t="e">
        <f t="shared" ca="1" si="82"/>
        <v>#N/A</v>
      </c>
      <c r="AJ129" s="24" t="e">
        <f t="shared" ca="1" si="82"/>
        <v>#N/A</v>
      </c>
      <c r="AK129" s="24" t="e">
        <f t="shared" ca="1" si="82"/>
        <v>#N/A</v>
      </c>
      <c r="AL129" s="24" t="e">
        <f t="shared" ca="1" si="82"/>
        <v>#N/A</v>
      </c>
      <c r="AM129" s="24" t="e">
        <f t="shared" ca="1" si="82"/>
        <v>#N/A</v>
      </c>
      <c r="AN129" s="24" t="e">
        <f t="shared" ca="1" si="82"/>
        <v>#N/A</v>
      </c>
      <c r="AO129" s="24" t="e">
        <f t="shared" ca="1" si="82"/>
        <v>#N/A</v>
      </c>
      <c r="AP129" s="24" t="e">
        <f t="shared" ca="1" si="82"/>
        <v>#N/A</v>
      </c>
      <c r="AQ129" s="6"/>
      <c r="AR129" s="6"/>
      <c r="AS129" s="6"/>
      <c r="AT129" s="6"/>
      <c r="AU129" s="6"/>
      <c r="AV129" s="6"/>
      <c r="BB129" s="4" t="e">
        <f t="shared" si="51"/>
        <v>#N/A</v>
      </c>
    </row>
    <row r="130" spans="1:54">
      <c r="A130" s="22" t="str">
        <f>'[6]TS BYDem'!A44</f>
        <v>*</v>
      </c>
      <c r="B130" s="22" t="str">
        <f>'[6]TS BYDem'!B44</f>
        <v>COM_PROJ</v>
      </c>
      <c r="C130" s="22" t="str">
        <f>'[6]TS BYDem'!C44</f>
        <v>-</v>
      </c>
      <c r="D130" s="22">
        <f>'[6]TS BYDem'!D44</f>
        <v>0</v>
      </c>
      <c r="E130" s="132" t="s">
        <v>138</v>
      </c>
      <c r="F130" s="132" t="s">
        <v>138</v>
      </c>
      <c r="G130" s="132" t="s">
        <v>138</v>
      </c>
      <c r="H130" s="132" t="s">
        <v>138</v>
      </c>
      <c r="I130" s="132">
        <v>0</v>
      </c>
      <c r="J130" s="6">
        <f>'[6]TS BYDem'!J44</f>
        <v>0</v>
      </c>
      <c r="K130" s="24">
        <f t="shared" si="47"/>
        <v>0</v>
      </c>
      <c r="L130" s="24">
        <f t="shared" si="47"/>
        <v>0</v>
      </c>
      <c r="M130" s="24">
        <f t="shared" si="47"/>
        <v>0</v>
      </c>
      <c r="N130" s="24">
        <f t="shared" si="47"/>
        <v>0</v>
      </c>
      <c r="O130" s="24">
        <f>'[6]TS BYDem'!O44</f>
        <v>0</v>
      </c>
      <c r="P130" s="24" t="e">
        <f t="shared" ref="P130:AP130" ca="1" si="83">OFFSET(P$33,$BB130,$J$93)/OFFSET(O$33,$BB130,$J$93)*O130</f>
        <v>#N/A</v>
      </c>
      <c r="Q130" s="24" t="e">
        <f t="shared" ca="1" si="83"/>
        <v>#N/A</v>
      </c>
      <c r="R130" s="24" t="e">
        <f t="shared" ca="1" si="83"/>
        <v>#N/A</v>
      </c>
      <c r="S130" s="24" t="e">
        <f t="shared" ca="1" si="83"/>
        <v>#N/A</v>
      </c>
      <c r="T130" s="24" t="e">
        <f t="shared" ca="1" si="83"/>
        <v>#N/A</v>
      </c>
      <c r="U130" s="24" t="e">
        <f t="shared" ca="1" si="83"/>
        <v>#N/A</v>
      </c>
      <c r="V130" s="24" t="e">
        <f t="shared" ca="1" si="83"/>
        <v>#N/A</v>
      </c>
      <c r="W130" s="24" t="e">
        <f t="shared" ca="1" si="83"/>
        <v>#N/A</v>
      </c>
      <c r="X130" s="24" t="e">
        <f t="shared" ca="1" si="83"/>
        <v>#N/A</v>
      </c>
      <c r="Y130" s="24" t="e">
        <f t="shared" ca="1" si="83"/>
        <v>#N/A</v>
      </c>
      <c r="Z130" s="24" t="e">
        <f t="shared" ca="1" si="83"/>
        <v>#N/A</v>
      </c>
      <c r="AA130" s="24" t="e">
        <f t="shared" ca="1" si="83"/>
        <v>#N/A</v>
      </c>
      <c r="AB130" s="24" t="e">
        <f t="shared" ca="1" si="83"/>
        <v>#N/A</v>
      </c>
      <c r="AC130" s="24" t="e">
        <f t="shared" ca="1" si="83"/>
        <v>#N/A</v>
      </c>
      <c r="AD130" s="24" t="e">
        <f t="shared" ca="1" si="83"/>
        <v>#N/A</v>
      </c>
      <c r="AE130" s="24" t="e">
        <f t="shared" ca="1" si="83"/>
        <v>#N/A</v>
      </c>
      <c r="AF130" s="24" t="e">
        <f t="shared" ca="1" si="83"/>
        <v>#N/A</v>
      </c>
      <c r="AG130" s="24" t="e">
        <f t="shared" ca="1" si="83"/>
        <v>#N/A</v>
      </c>
      <c r="AH130" s="24" t="e">
        <f t="shared" ca="1" si="83"/>
        <v>#N/A</v>
      </c>
      <c r="AI130" s="24" t="e">
        <f t="shared" ca="1" si="83"/>
        <v>#N/A</v>
      </c>
      <c r="AJ130" s="24" t="e">
        <f t="shared" ca="1" si="83"/>
        <v>#N/A</v>
      </c>
      <c r="AK130" s="24" t="e">
        <f t="shared" ca="1" si="83"/>
        <v>#N/A</v>
      </c>
      <c r="AL130" s="24" t="e">
        <f t="shared" ca="1" si="83"/>
        <v>#N/A</v>
      </c>
      <c r="AM130" s="24" t="e">
        <f t="shared" ca="1" si="83"/>
        <v>#N/A</v>
      </c>
      <c r="AN130" s="24" t="e">
        <f t="shared" ca="1" si="83"/>
        <v>#N/A</v>
      </c>
      <c r="AO130" s="24" t="e">
        <f t="shared" ca="1" si="83"/>
        <v>#N/A</v>
      </c>
      <c r="AP130" s="24" t="e">
        <f t="shared" ca="1" si="83"/>
        <v>#N/A</v>
      </c>
      <c r="AQ130" s="6"/>
      <c r="AR130" s="6"/>
      <c r="AS130" s="6"/>
      <c r="AT130" s="6"/>
      <c r="AU130" s="6"/>
      <c r="AV130" s="6"/>
      <c r="BB130" s="4" t="e">
        <f t="shared" si="51"/>
        <v>#N/A</v>
      </c>
    </row>
    <row r="131" spans="1:54">
      <c r="A131" s="22" t="str">
        <f>'[6]TS BYDem'!A45</f>
        <v>*</v>
      </c>
      <c r="B131" s="22" t="str">
        <f>'[6]TS BYDem'!B45</f>
        <v>COM_PROJ</v>
      </c>
      <c r="C131" s="22" t="str">
        <f>'[6]TS BYDem'!C45</f>
        <v>-</v>
      </c>
      <c r="D131" s="22">
        <f>'[6]TS BYDem'!D45</f>
        <v>0</v>
      </c>
      <c r="E131" s="132" t="s">
        <v>138</v>
      </c>
      <c r="F131" s="132" t="s">
        <v>138</v>
      </c>
      <c r="G131" s="132" t="s">
        <v>138</v>
      </c>
      <c r="H131" s="132" t="s">
        <v>138</v>
      </c>
      <c r="I131" s="132">
        <v>0</v>
      </c>
      <c r="J131" s="6">
        <f>'[6]TS BYDem'!J45</f>
        <v>0</v>
      </c>
      <c r="K131" s="24">
        <f t="shared" si="47"/>
        <v>0</v>
      </c>
      <c r="L131" s="24">
        <f t="shared" si="47"/>
        <v>0</v>
      </c>
      <c r="M131" s="24">
        <f t="shared" si="47"/>
        <v>0</v>
      </c>
      <c r="N131" s="24">
        <f t="shared" si="47"/>
        <v>0</v>
      </c>
      <c r="O131" s="24">
        <f>'[6]TS BYDem'!O45</f>
        <v>0</v>
      </c>
      <c r="P131" s="24" t="e">
        <f t="shared" ref="P131:AP131" ca="1" si="84">OFFSET(P$33,$BB131,$J$93)/OFFSET(O$33,$BB131,$J$93)*O131</f>
        <v>#N/A</v>
      </c>
      <c r="Q131" s="24" t="e">
        <f t="shared" ca="1" si="84"/>
        <v>#N/A</v>
      </c>
      <c r="R131" s="24" t="e">
        <f t="shared" ca="1" si="84"/>
        <v>#N/A</v>
      </c>
      <c r="S131" s="24" t="e">
        <f t="shared" ca="1" si="84"/>
        <v>#N/A</v>
      </c>
      <c r="T131" s="24" t="e">
        <f t="shared" ca="1" si="84"/>
        <v>#N/A</v>
      </c>
      <c r="U131" s="24" t="e">
        <f t="shared" ca="1" si="84"/>
        <v>#N/A</v>
      </c>
      <c r="V131" s="24" t="e">
        <f t="shared" ca="1" si="84"/>
        <v>#N/A</v>
      </c>
      <c r="W131" s="24" t="e">
        <f t="shared" ca="1" si="84"/>
        <v>#N/A</v>
      </c>
      <c r="X131" s="24" t="e">
        <f t="shared" ca="1" si="84"/>
        <v>#N/A</v>
      </c>
      <c r="Y131" s="24" t="e">
        <f t="shared" ca="1" si="84"/>
        <v>#N/A</v>
      </c>
      <c r="Z131" s="24" t="e">
        <f t="shared" ca="1" si="84"/>
        <v>#N/A</v>
      </c>
      <c r="AA131" s="24" t="e">
        <f t="shared" ca="1" si="84"/>
        <v>#N/A</v>
      </c>
      <c r="AB131" s="24" t="e">
        <f t="shared" ca="1" si="84"/>
        <v>#N/A</v>
      </c>
      <c r="AC131" s="24" t="e">
        <f t="shared" ca="1" si="84"/>
        <v>#N/A</v>
      </c>
      <c r="AD131" s="24" t="e">
        <f t="shared" ca="1" si="84"/>
        <v>#N/A</v>
      </c>
      <c r="AE131" s="24" t="e">
        <f t="shared" ca="1" si="84"/>
        <v>#N/A</v>
      </c>
      <c r="AF131" s="24" t="e">
        <f t="shared" ca="1" si="84"/>
        <v>#N/A</v>
      </c>
      <c r="AG131" s="24" t="e">
        <f t="shared" ca="1" si="84"/>
        <v>#N/A</v>
      </c>
      <c r="AH131" s="24" t="e">
        <f t="shared" ca="1" si="84"/>
        <v>#N/A</v>
      </c>
      <c r="AI131" s="24" t="e">
        <f t="shared" ca="1" si="84"/>
        <v>#N/A</v>
      </c>
      <c r="AJ131" s="24" t="e">
        <f t="shared" ca="1" si="84"/>
        <v>#N/A</v>
      </c>
      <c r="AK131" s="24" t="e">
        <f t="shared" ca="1" si="84"/>
        <v>#N/A</v>
      </c>
      <c r="AL131" s="24" t="e">
        <f t="shared" ca="1" si="84"/>
        <v>#N/A</v>
      </c>
      <c r="AM131" s="24" t="e">
        <f t="shared" ca="1" si="84"/>
        <v>#N/A</v>
      </c>
      <c r="AN131" s="24" t="e">
        <f t="shared" ca="1" si="84"/>
        <v>#N/A</v>
      </c>
      <c r="AO131" s="24" t="e">
        <f t="shared" ca="1" si="84"/>
        <v>#N/A</v>
      </c>
      <c r="AP131" s="24" t="e">
        <f t="shared" ca="1" si="84"/>
        <v>#N/A</v>
      </c>
      <c r="AQ131" s="6"/>
      <c r="AR131" s="6"/>
      <c r="AS131" s="6"/>
      <c r="AT131" s="6"/>
      <c r="AU131" s="6"/>
      <c r="AV131" s="6"/>
      <c r="BB131" s="4" t="e">
        <f t="shared" si="51"/>
        <v>#N/A</v>
      </c>
    </row>
    <row r="132" spans="1:54">
      <c r="A132" s="22" t="str">
        <f>'[6]TS BYDem'!A46</f>
        <v>*</v>
      </c>
      <c r="B132" s="22" t="str">
        <f>'[6]TS BYDem'!B46</f>
        <v>COM_PROJ</v>
      </c>
      <c r="C132" s="22" t="str">
        <f>'[6]TS BYDem'!C46</f>
        <v>-</v>
      </c>
      <c r="D132" s="22">
        <f>'[6]TS BYDem'!D46</f>
        <v>0</v>
      </c>
      <c r="E132" s="132" t="s">
        <v>138</v>
      </c>
      <c r="F132" s="132" t="s">
        <v>138</v>
      </c>
      <c r="G132" s="132" t="s">
        <v>138</v>
      </c>
      <c r="H132" s="132" t="s">
        <v>138</v>
      </c>
      <c r="I132" s="132">
        <v>0</v>
      </c>
      <c r="J132" s="6">
        <f>'[6]TS BYDem'!J46</f>
        <v>0</v>
      </c>
      <c r="K132" s="24">
        <f t="shared" si="47"/>
        <v>0</v>
      </c>
      <c r="L132" s="24">
        <f t="shared" si="47"/>
        <v>0</v>
      </c>
      <c r="M132" s="24">
        <f t="shared" si="47"/>
        <v>0</v>
      </c>
      <c r="N132" s="24">
        <f t="shared" si="47"/>
        <v>0</v>
      </c>
      <c r="O132" s="24">
        <f>'[6]TS BYDem'!O46</f>
        <v>0</v>
      </c>
      <c r="P132" s="24" t="e">
        <f t="shared" ref="P132:AP136" ca="1" si="85">OFFSET(P$33,$BB132,$J$93)/(OFFSET(O$33,$BB132,$J$93)+0.000001)*O132</f>
        <v>#N/A</v>
      </c>
      <c r="Q132" s="24" t="e">
        <f t="shared" ca="1" si="85"/>
        <v>#N/A</v>
      </c>
      <c r="R132" s="24" t="e">
        <f t="shared" ca="1" si="85"/>
        <v>#N/A</v>
      </c>
      <c r="S132" s="24" t="e">
        <f t="shared" ca="1" si="85"/>
        <v>#N/A</v>
      </c>
      <c r="T132" s="24" t="e">
        <f t="shared" ca="1" si="85"/>
        <v>#N/A</v>
      </c>
      <c r="U132" s="24" t="e">
        <f t="shared" ca="1" si="85"/>
        <v>#N/A</v>
      </c>
      <c r="V132" s="24" t="e">
        <f t="shared" ca="1" si="85"/>
        <v>#N/A</v>
      </c>
      <c r="W132" s="24" t="e">
        <f t="shared" ca="1" si="85"/>
        <v>#N/A</v>
      </c>
      <c r="X132" s="24" t="e">
        <f t="shared" ca="1" si="85"/>
        <v>#N/A</v>
      </c>
      <c r="Y132" s="24" t="e">
        <f t="shared" ca="1" si="85"/>
        <v>#N/A</v>
      </c>
      <c r="Z132" s="24" t="e">
        <f t="shared" ca="1" si="85"/>
        <v>#N/A</v>
      </c>
      <c r="AA132" s="24" t="e">
        <f t="shared" ca="1" si="85"/>
        <v>#N/A</v>
      </c>
      <c r="AB132" s="24" t="e">
        <f t="shared" ca="1" si="85"/>
        <v>#N/A</v>
      </c>
      <c r="AC132" s="24" t="e">
        <f t="shared" ca="1" si="85"/>
        <v>#N/A</v>
      </c>
      <c r="AD132" s="24" t="e">
        <f t="shared" ca="1" si="85"/>
        <v>#N/A</v>
      </c>
      <c r="AE132" s="24" t="e">
        <f t="shared" ca="1" si="85"/>
        <v>#N/A</v>
      </c>
      <c r="AF132" s="24" t="e">
        <f t="shared" ca="1" si="85"/>
        <v>#N/A</v>
      </c>
      <c r="AG132" s="24" t="e">
        <f t="shared" ca="1" si="85"/>
        <v>#N/A</v>
      </c>
      <c r="AH132" s="24" t="e">
        <f t="shared" ca="1" si="85"/>
        <v>#N/A</v>
      </c>
      <c r="AI132" s="24" t="e">
        <f t="shared" ca="1" si="85"/>
        <v>#N/A</v>
      </c>
      <c r="AJ132" s="24" t="e">
        <f t="shared" ca="1" si="85"/>
        <v>#N/A</v>
      </c>
      <c r="AK132" s="24" t="e">
        <f t="shared" ca="1" si="85"/>
        <v>#N/A</v>
      </c>
      <c r="AL132" s="24" t="e">
        <f t="shared" ca="1" si="85"/>
        <v>#N/A</v>
      </c>
      <c r="AM132" s="24" t="e">
        <f t="shared" ca="1" si="85"/>
        <v>#N/A</v>
      </c>
      <c r="AN132" s="24" t="e">
        <f t="shared" ca="1" si="85"/>
        <v>#N/A</v>
      </c>
      <c r="AO132" s="24" t="e">
        <f t="shared" ca="1" si="85"/>
        <v>#N/A</v>
      </c>
      <c r="AP132" s="24" t="e">
        <f t="shared" ca="1" si="85"/>
        <v>#N/A</v>
      </c>
      <c r="AQ132" s="6"/>
      <c r="AR132" s="6"/>
      <c r="AS132" s="6"/>
      <c r="AT132" s="6"/>
      <c r="AU132" s="6"/>
      <c r="AV132" s="6"/>
      <c r="BB132" s="4" t="e">
        <f t="shared" si="51"/>
        <v>#N/A</v>
      </c>
    </row>
    <row r="133" spans="1:54">
      <c r="A133" s="22" t="str">
        <f>'[6]TS BYDem'!A47</f>
        <v>*</v>
      </c>
      <c r="B133" s="22" t="str">
        <f>'[6]TS BYDem'!B47</f>
        <v>COM_PROJ</v>
      </c>
      <c r="C133" s="22" t="str">
        <f>'[6]TS BYDem'!C47</f>
        <v>-</v>
      </c>
      <c r="D133" s="22">
        <f>'[6]TS BYDem'!D47</f>
        <v>0</v>
      </c>
      <c r="E133" s="132" t="s">
        <v>138</v>
      </c>
      <c r="F133" s="132" t="s">
        <v>138</v>
      </c>
      <c r="G133" s="132" t="s">
        <v>138</v>
      </c>
      <c r="H133" s="132" t="s">
        <v>138</v>
      </c>
      <c r="I133" s="132">
        <v>0</v>
      </c>
      <c r="J133" s="6">
        <f>'[6]TS BYDem'!J47</f>
        <v>0</v>
      </c>
      <c r="K133" s="24">
        <f t="shared" si="47"/>
        <v>0</v>
      </c>
      <c r="L133" s="24">
        <f t="shared" si="47"/>
        <v>0</v>
      </c>
      <c r="M133" s="24">
        <f t="shared" si="47"/>
        <v>0</v>
      </c>
      <c r="N133" s="24">
        <f t="shared" si="47"/>
        <v>0</v>
      </c>
      <c r="O133" s="24">
        <f>'[6]TS BYDem'!O47</f>
        <v>0</v>
      </c>
      <c r="P133" s="24" t="e">
        <f t="shared" ref="P133:Z133" ca="1" si="86">OFFSET(P$33,$BB133,$J$93)/(OFFSET(O$33,$BB133,$J$93)+0.000001)*O133</f>
        <v>#N/A</v>
      </c>
      <c r="Q133" s="24" t="e">
        <f t="shared" ca="1" si="86"/>
        <v>#N/A</v>
      </c>
      <c r="R133" s="24" t="e">
        <f t="shared" ca="1" si="86"/>
        <v>#N/A</v>
      </c>
      <c r="S133" s="24" t="e">
        <f t="shared" ca="1" si="86"/>
        <v>#N/A</v>
      </c>
      <c r="T133" s="24" t="e">
        <f t="shared" ca="1" si="86"/>
        <v>#N/A</v>
      </c>
      <c r="U133" s="24" t="e">
        <f t="shared" ca="1" si="86"/>
        <v>#N/A</v>
      </c>
      <c r="V133" s="24" t="e">
        <f t="shared" ca="1" si="86"/>
        <v>#N/A</v>
      </c>
      <c r="W133" s="24" t="e">
        <f t="shared" ca="1" si="86"/>
        <v>#N/A</v>
      </c>
      <c r="X133" s="24" t="e">
        <f t="shared" ca="1" si="86"/>
        <v>#N/A</v>
      </c>
      <c r="Y133" s="24" t="e">
        <f t="shared" ca="1" si="86"/>
        <v>#N/A</v>
      </c>
      <c r="Z133" s="24" t="e">
        <f t="shared" ca="1" si="86"/>
        <v>#N/A</v>
      </c>
      <c r="AA133" s="24" t="e">
        <f t="shared" ca="1" si="85"/>
        <v>#N/A</v>
      </c>
      <c r="AB133" s="24" t="e">
        <f t="shared" ca="1" si="85"/>
        <v>#N/A</v>
      </c>
      <c r="AC133" s="24" t="e">
        <f t="shared" ca="1" si="85"/>
        <v>#N/A</v>
      </c>
      <c r="AD133" s="24" t="e">
        <f t="shared" ca="1" si="85"/>
        <v>#N/A</v>
      </c>
      <c r="AE133" s="24" t="e">
        <f t="shared" ca="1" si="85"/>
        <v>#N/A</v>
      </c>
      <c r="AF133" s="24" t="e">
        <f t="shared" ca="1" si="85"/>
        <v>#N/A</v>
      </c>
      <c r="AG133" s="24" t="e">
        <f t="shared" ca="1" si="85"/>
        <v>#N/A</v>
      </c>
      <c r="AH133" s="24" t="e">
        <f t="shared" ca="1" si="85"/>
        <v>#N/A</v>
      </c>
      <c r="AI133" s="24" t="e">
        <f t="shared" ca="1" si="85"/>
        <v>#N/A</v>
      </c>
      <c r="AJ133" s="24" t="e">
        <f t="shared" ca="1" si="85"/>
        <v>#N/A</v>
      </c>
      <c r="AK133" s="24" t="e">
        <f t="shared" ca="1" si="85"/>
        <v>#N/A</v>
      </c>
      <c r="AL133" s="24" t="e">
        <f t="shared" ca="1" si="85"/>
        <v>#N/A</v>
      </c>
      <c r="AM133" s="24" t="e">
        <f t="shared" ca="1" si="85"/>
        <v>#N/A</v>
      </c>
      <c r="AN133" s="24" t="e">
        <f t="shared" ca="1" si="85"/>
        <v>#N/A</v>
      </c>
      <c r="AO133" s="24" t="e">
        <f t="shared" ca="1" si="85"/>
        <v>#N/A</v>
      </c>
      <c r="AP133" s="24" t="e">
        <f t="shared" ca="1" si="85"/>
        <v>#N/A</v>
      </c>
      <c r="AQ133" s="6"/>
      <c r="AR133" s="6"/>
      <c r="AS133" s="6"/>
      <c r="AT133" s="6"/>
      <c r="AU133" s="6"/>
      <c r="AV133" s="6"/>
      <c r="BB133" s="4" t="e">
        <f t="shared" si="51"/>
        <v>#N/A</v>
      </c>
    </row>
    <row r="134" spans="1:54">
      <c r="A134" s="22" t="str">
        <f>'[6]TS BYDem'!A48</f>
        <v>*</v>
      </c>
      <c r="B134" s="22" t="str">
        <f>'[6]TS BYDem'!B48</f>
        <v>COM_PROJ</v>
      </c>
      <c r="C134" s="22" t="str">
        <f>'[6]TS BYDem'!C48</f>
        <v>-</v>
      </c>
      <c r="D134" s="22">
        <f>'[6]TS BYDem'!D48</f>
        <v>0</v>
      </c>
      <c r="E134" s="132" t="s">
        <v>138</v>
      </c>
      <c r="F134" s="132" t="s">
        <v>138</v>
      </c>
      <c r="G134" s="132" t="s">
        <v>138</v>
      </c>
      <c r="H134" s="132" t="s">
        <v>138</v>
      </c>
      <c r="I134" s="132">
        <v>0</v>
      </c>
      <c r="J134" s="6">
        <f>'[6]TS BYDem'!J48</f>
        <v>0</v>
      </c>
      <c r="K134" s="24">
        <f t="shared" si="47"/>
        <v>0</v>
      </c>
      <c r="L134" s="24">
        <f t="shared" si="47"/>
        <v>0</v>
      </c>
      <c r="M134" s="24">
        <f t="shared" si="47"/>
        <v>0</v>
      </c>
      <c r="N134" s="24">
        <f t="shared" si="47"/>
        <v>0</v>
      </c>
      <c r="O134" s="24">
        <f>'[6]TS BYDem'!O48</f>
        <v>0</v>
      </c>
      <c r="P134" s="24">
        <f t="shared" ref="P134:AP134" ca="1" si="87">IF($E$78=1, P91, P85)</f>
        <v>0</v>
      </c>
      <c r="Q134" s="24">
        <f t="shared" ca="1" si="87"/>
        <v>0</v>
      </c>
      <c r="R134" s="24">
        <f t="shared" ca="1" si="87"/>
        <v>0</v>
      </c>
      <c r="S134" s="24">
        <f t="shared" ca="1" si="87"/>
        <v>0</v>
      </c>
      <c r="T134" s="24">
        <f t="shared" ca="1" si="87"/>
        <v>0</v>
      </c>
      <c r="U134" s="24">
        <f t="shared" ca="1" si="87"/>
        <v>0</v>
      </c>
      <c r="V134" s="24">
        <f t="shared" ca="1" si="87"/>
        <v>0</v>
      </c>
      <c r="W134" s="24">
        <f t="shared" ca="1" si="87"/>
        <v>0</v>
      </c>
      <c r="X134" s="24">
        <f t="shared" ca="1" si="87"/>
        <v>0</v>
      </c>
      <c r="Y134" s="24">
        <f t="shared" ca="1" si="87"/>
        <v>0</v>
      </c>
      <c r="Z134" s="24">
        <f t="shared" ca="1" si="87"/>
        <v>0</v>
      </c>
      <c r="AA134" s="24">
        <f t="shared" ca="1" si="87"/>
        <v>0</v>
      </c>
      <c r="AB134" s="24">
        <f t="shared" ca="1" si="87"/>
        <v>0</v>
      </c>
      <c r="AC134" s="24">
        <f t="shared" ca="1" si="87"/>
        <v>0</v>
      </c>
      <c r="AD134" s="24">
        <f t="shared" ca="1" si="87"/>
        <v>0</v>
      </c>
      <c r="AE134" s="24">
        <f t="shared" ca="1" si="87"/>
        <v>0</v>
      </c>
      <c r="AF134" s="24">
        <f t="shared" ca="1" si="87"/>
        <v>0</v>
      </c>
      <c r="AG134" s="24">
        <f t="shared" ca="1" si="87"/>
        <v>0</v>
      </c>
      <c r="AH134" s="24">
        <f t="shared" ca="1" si="87"/>
        <v>0</v>
      </c>
      <c r="AI134" s="24">
        <f t="shared" ca="1" si="87"/>
        <v>0</v>
      </c>
      <c r="AJ134" s="24">
        <f t="shared" ca="1" si="87"/>
        <v>0</v>
      </c>
      <c r="AK134" s="24">
        <f t="shared" ca="1" si="87"/>
        <v>0</v>
      </c>
      <c r="AL134" s="24">
        <f t="shared" ca="1" si="87"/>
        <v>0</v>
      </c>
      <c r="AM134" s="24">
        <f t="shared" ca="1" si="87"/>
        <v>0</v>
      </c>
      <c r="AN134" s="24">
        <f t="shared" ca="1" si="87"/>
        <v>0</v>
      </c>
      <c r="AO134" s="24">
        <f t="shared" ca="1" si="87"/>
        <v>0</v>
      </c>
      <c r="AP134" s="24">
        <f t="shared" ca="1" si="87"/>
        <v>0</v>
      </c>
      <c r="AQ134" s="6"/>
      <c r="AR134" s="6"/>
      <c r="AS134" s="6"/>
      <c r="AT134" s="6"/>
      <c r="AU134" s="6"/>
      <c r="AV134" s="6"/>
      <c r="BB134" s="4" t="e">
        <f t="shared" si="51"/>
        <v>#N/A</v>
      </c>
    </row>
    <row r="135" spans="1:54">
      <c r="A135" s="22" t="str">
        <f>'[6]TS BYDem'!A49</f>
        <v>*</v>
      </c>
      <c r="B135" s="22" t="str">
        <f>'[6]TS BYDem'!B49</f>
        <v>COM_PROJ</v>
      </c>
      <c r="C135" s="22" t="str">
        <f>'[6]TS BYDem'!C49</f>
        <v>-</v>
      </c>
      <c r="D135" s="22">
        <f>'[6]TS BYDem'!D49</f>
        <v>0</v>
      </c>
      <c r="E135" s="132" t="s">
        <v>138</v>
      </c>
      <c r="F135" s="132" t="s">
        <v>138</v>
      </c>
      <c r="G135" s="132" t="s">
        <v>138</v>
      </c>
      <c r="H135" s="132" t="s">
        <v>138</v>
      </c>
      <c r="I135" s="132">
        <v>0</v>
      </c>
      <c r="J135" s="6">
        <f>'[6]TS BYDem'!J49</f>
        <v>0</v>
      </c>
      <c r="K135" s="24">
        <f t="shared" si="47"/>
        <v>0</v>
      </c>
      <c r="L135" s="24">
        <f t="shared" si="47"/>
        <v>0</v>
      </c>
      <c r="M135" s="24">
        <f t="shared" si="47"/>
        <v>0</v>
      </c>
      <c r="N135" s="24">
        <f t="shared" si="47"/>
        <v>0</v>
      </c>
      <c r="O135" s="24">
        <f>'[6]TS BYDem'!O49</f>
        <v>0</v>
      </c>
      <c r="P135" s="24" t="e">
        <f t="shared" ca="1" si="85"/>
        <v>#N/A</v>
      </c>
      <c r="Q135" s="24" t="e">
        <f t="shared" ca="1" si="85"/>
        <v>#N/A</v>
      </c>
      <c r="R135" s="24" t="e">
        <f t="shared" ca="1" si="85"/>
        <v>#N/A</v>
      </c>
      <c r="S135" s="24" t="e">
        <f t="shared" ca="1" si="85"/>
        <v>#N/A</v>
      </c>
      <c r="T135" s="24" t="e">
        <f t="shared" ca="1" si="85"/>
        <v>#N/A</v>
      </c>
      <c r="U135" s="24" t="e">
        <f t="shared" ca="1" si="85"/>
        <v>#N/A</v>
      </c>
      <c r="V135" s="24" t="e">
        <f t="shared" ca="1" si="85"/>
        <v>#N/A</v>
      </c>
      <c r="W135" s="24" t="e">
        <f t="shared" ca="1" si="85"/>
        <v>#N/A</v>
      </c>
      <c r="X135" s="24" t="e">
        <f t="shared" ca="1" si="85"/>
        <v>#N/A</v>
      </c>
      <c r="Y135" s="24" t="e">
        <f t="shared" ca="1" si="85"/>
        <v>#N/A</v>
      </c>
      <c r="Z135" s="24" t="e">
        <f t="shared" ca="1" si="85"/>
        <v>#N/A</v>
      </c>
      <c r="AA135" s="24" t="e">
        <f t="shared" ca="1" si="85"/>
        <v>#N/A</v>
      </c>
      <c r="AB135" s="24" t="e">
        <f t="shared" ca="1" si="85"/>
        <v>#N/A</v>
      </c>
      <c r="AC135" s="24" t="e">
        <f t="shared" ca="1" si="85"/>
        <v>#N/A</v>
      </c>
      <c r="AD135" s="24" t="e">
        <f t="shared" ca="1" si="85"/>
        <v>#N/A</v>
      </c>
      <c r="AE135" s="24" t="e">
        <f t="shared" ca="1" si="85"/>
        <v>#N/A</v>
      </c>
      <c r="AF135" s="24" t="e">
        <f t="shared" ca="1" si="85"/>
        <v>#N/A</v>
      </c>
      <c r="AG135" s="24" t="e">
        <f t="shared" ca="1" si="85"/>
        <v>#N/A</v>
      </c>
      <c r="AH135" s="24" t="e">
        <f t="shared" ca="1" si="85"/>
        <v>#N/A</v>
      </c>
      <c r="AI135" s="24" t="e">
        <f t="shared" ca="1" si="85"/>
        <v>#N/A</v>
      </c>
      <c r="AJ135" s="24" t="e">
        <f t="shared" ca="1" si="85"/>
        <v>#N/A</v>
      </c>
      <c r="AK135" s="24" t="e">
        <f t="shared" ca="1" si="85"/>
        <v>#N/A</v>
      </c>
      <c r="AL135" s="24" t="e">
        <f t="shared" ca="1" si="85"/>
        <v>#N/A</v>
      </c>
      <c r="AM135" s="24" t="e">
        <f t="shared" ca="1" si="85"/>
        <v>#N/A</v>
      </c>
      <c r="AN135" s="24" t="e">
        <f t="shared" ca="1" si="85"/>
        <v>#N/A</v>
      </c>
      <c r="AO135" s="24" t="e">
        <f t="shared" ca="1" si="85"/>
        <v>#N/A</v>
      </c>
      <c r="AP135" s="24" t="e">
        <f t="shared" ca="1" si="85"/>
        <v>#N/A</v>
      </c>
      <c r="AQ135" s="6"/>
      <c r="AR135" s="6"/>
      <c r="AS135" s="6"/>
      <c r="AT135" s="6"/>
      <c r="AU135" s="6"/>
      <c r="AV135" s="6"/>
      <c r="BB135" s="4" t="e">
        <f>MATCH(MID(D135,2,2),$B$34:$B$38,0)</f>
        <v>#N/A</v>
      </c>
    </row>
    <row r="136" spans="1:54">
      <c r="A136" s="22" t="str">
        <f>'[6]TS BYDem'!A50</f>
        <v>*</v>
      </c>
      <c r="B136" s="22" t="str">
        <f>'[6]TS BYDem'!B50</f>
        <v>COM_PROJ</v>
      </c>
      <c r="C136" s="22" t="str">
        <f>'[6]TS BYDem'!C50</f>
        <v>-</v>
      </c>
      <c r="D136" s="22">
        <f>'[6]TS BYDem'!D50</f>
        <v>0</v>
      </c>
      <c r="E136" s="132" t="s">
        <v>138</v>
      </c>
      <c r="F136" s="132" t="s">
        <v>138</v>
      </c>
      <c r="G136" s="132" t="s">
        <v>138</v>
      </c>
      <c r="H136" s="132" t="s">
        <v>138</v>
      </c>
      <c r="I136" s="132">
        <v>0</v>
      </c>
      <c r="J136" s="6">
        <f>'[6]TS BYDem'!J50</f>
        <v>0</v>
      </c>
      <c r="K136" s="24">
        <f t="shared" si="47"/>
        <v>0</v>
      </c>
      <c r="L136" s="24">
        <f t="shared" si="47"/>
        <v>0</v>
      </c>
      <c r="M136" s="24">
        <f t="shared" si="47"/>
        <v>0</v>
      </c>
      <c r="N136" s="24">
        <f t="shared" si="47"/>
        <v>0</v>
      </c>
      <c r="O136" s="24">
        <f>'[6]TS BYDem'!O50</f>
        <v>0</v>
      </c>
      <c r="P136" s="24" t="e">
        <f t="shared" ca="1" si="85"/>
        <v>#N/A</v>
      </c>
      <c r="Q136" s="24" t="e">
        <f t="shared" ca="1" si="85"/>
        <v>#N/A</v>
      </c>
      <c r="R136" s="24" t="e">
        <f t="shared" ca="1" si="85"/>
        <v>#N/A</v>
      </c>
      <c r="S136" s="24" t="e">
        <f t="shared" ca="1" si="85"/>
        <v>#N/A</v>
      </c>
      <c r="T136" s="24" t="e">
        <f t="shared" ca="1" si="85"/>
        <v>#N/A</v>
      </c>
      <c r="U136" s="24" t="e">
        <f t="shared" ca="1" si="85"/>
        <v>#N/A</v>
      </c>
      <c r="V136" s="24" t="e">
        <f t="shared" ca="1" si="85"/>
        <v>#N/A</v>
      </c>
      <c r="W136" s="24" t="e">
        <f t="shared" ca="1" si="85"/>
        <v>#N/A</v>
      </c>
      <c r="X136" s="24" t="e">
        <f t="shared" ca="1" si="85"/>
        <v>#N/A</v>
      </c>
      <c r="Y136" s="24" t="e">
        <f t="shared" ca="1" si="85"/>
        <v>#N/A</v>
      </c>
      <c r="Z136" s="24" t="e">
        <f t="shared" ca="1" si="85"/>
        <v>#N/A</v>
      </c>
      <c r="AA136" s="24" t="e">
        <f t="shared" ca="1" si="85"/>
        <v>#N/A</v>
      </c>
      <c r="AB136" s="24" t="e">
        <f t="shared" ca="1" si="85"/>
        <v>#N/A</v>
      </c>
      <c r="AC136" s="24" t="e">
        <f t="shared" ca="1" si="85"/>
        <v>#N/A</v>
      </c>
      <c r="AD136" s="24" t="e">
        <f t="shared" ca="1" si="85"/>
        <v>#N/A</v>
      </c>
      <c r="AE136" s="24" t="e">
        <f t="shared" ca="1" si="85"/>
        <v>#N/A</v>
      </c>
      <c r="AF136" s="24" t="e">
        <f t="shared" ca="1" si="85"/>
        <v>#N/A</v>
      </c>
      <c r="AG136" s="24" t="e">
        <f t="shared" ca="1" si="85"/>
        <v>#N/A</v>
      </c>
      <c r="AH136" s="24" t="e">
        <f t="shared" ca="1" si="85"/>
        <v>#N/A</v>
      </c>
      <c r="AI136" s="24" t="e">
        <f t="shared" ca="1" si="85"/>
        <v>#N/A</v>
      </c>
      <c r="AJ136" s="24" t="e">
        <f t="shared" ca="1" si="85"/>
        <v>#N/A</v>
      </c>
      <c r="AK136" s="24" t="e">
        <f t="shared" ca="1" si="85"/>
        <v>#N/A</v>
      </c>
      <c r="AL136" s="24" t="e">
        <f t="shared" ca="1" si="85"/>
        <v>#N/A</v>
      </c>
      <c r="AM136" s="24" t="e">
        <f t="shared" ca="1" si="85"/>
        <v>#N/A</v>
      </c>
      <c r="AN136" s="24" t="e">
        <f t="shared" ca="1" si="85"/>
        <v>#N/A</v>
      </c>
      <c r="AO136" s="24" t="e">
        <f t="shared" ca="1" si="85"/>
        <v>#N/A</v>
      </c>
      <c r="AP136" s="24" t="e">
        <f t="shared" ca="1" si="85"/>
        <v>#N/A</v>
      </c>
      <c r="AQ136" s="6"/>
      <c r="AR136" s="6"/>
      <c r="AS136" s="6"/>
      <c r="AT136" s="6"/>
      <c r="AU136" s="6"/>
      <c r="AV136" s="6"/>
      <c r="BB136" s="4" t="e">
        <f>MATCH(MID(D136,2,2),$B$34:$B$38,0)</f>
        <v>#N/A</v>
      </c>
    </row>
  </sheetData>
  <mergeCells count="1">
    <mergeCell ref="B2:C2"/>
  </mergeCell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09375" defaultRowHeight="10.199999999999999"/>
  <cols>
    <col min="1" max="1" width="12.44140625" style="18" customWidth="1"/>
    <col min="2" max="2" width="26.44140625" style="18" customWidth="1"/>
    <col min="3" max="3" width="11" style="18" customWidth="1"/>
    <col min="4" max="4" width="27.44140625" style="18" customWidth="1"/>
    <col min="5" max="5" width="10.109375" style="18" customWidth="1"/>
    <col min="6" max="6" width="28.88671875" style="18" customWidth="1"/>
    <col min="7" max="16384" width="9.109375" style="18"/>
  </cols>
  <sheetData>
    <row r="1" spans="1:7">
      <c r="A1" s="16" t="s">
        <v>29</v>
      </c>
      <c r="B1" s="18" t="s">
        <v>18</v>
      </c>
    </row>
    <row r="2" spans="1:7">
      <c r="A2" s="18" t="s">
        <v>17</v>
      </c>
    </row>
    <row r="3" spans="1:7" ht="18.75" customHeight="1">
      <c r="A3" s="18" t="s">
        <v>17</v>
      </c>
    </row>
    <row r="4" spans="1:7">
      <c r="A4" s="18" t="s">
        <v>17</v>
      </c>
    </row>
    <row r="5" spans="1:7">
      <c r="A5" s="18" t="s">
        <v>17</v>
      </c>
    </row>
    <row r="6" spans="1:7">
      <c r="A6" s="18" t="s">
        <v>17</v>
      </c>
    </row>
    <row r="7" spans="1:7">
      <c r="A7" s="18" t="s">
        <v>17</v>
      </c>
      <c r="B7" s="16" t="s">
        <v>31</v>
      </c>
      <c r="C7" s="26" t="s">
        <v>32</v>
      </c>
      <c r="D7" s="16" t="s">
        <v>33</v>
      </c>
      <c r="E7" s="16" t="s">
        <v>34</v>
      </c>
      <c r="F7" s="16" t="s">
        <v>35</v>
      </c>
      <c r="G7" s="16" t="s">
        <v>36</v>
      </c>
    </row>
    <row r="8" spans="1:7">
      <c r="A8" s="18" t="s">
        <v>17</v>
      </c>
      <c r="B8" s="16" t="s">
        <v>37</v>
      </c>
      <c r="C8" s="26"/>
      <c r="D8" s="16"/>
      <c r="E8" s="16"/>
      <c r="F8" s="16"/>
      <c r="G8" s="16"/>
    </row>
    <row r="9" spans="1:7">
      <c r="B9" s="19" t="s">
        <v>38</v>
      </c>
      <c r="C9" s="18" t="str">
        <f>COM!B70</f>
        <v>CEC</v>
      </c>
      <c r="D9" s="18" t="str">
        <f>COM!C70</f>
        <v>Commercial - Cooling</v>
      </c>
      <c r="E9" s="19" t="s">
        <v>39</v>
      </c>
      <c r="F9" s="19" t="s">
        <v>40</v>
      </c>
    </row>
    <row r="10" spans="1:7">
      <c r="B10" s="19" t="s">
        <v>38</v>
      </c>
      <c r="C10" s="18" t="str">
        <f>COM!B71</f>
        <v>CEH</v>
      </c>
      <c r="D10" s="18" t="str">
        <f>COM!C71</f>
        <v>Commercial - Space Heating</v>
      </c>
      <c r="E10" s="19" t="s">
        <v>39</v>
      </c>
      <c r="F10" s="19" t="s">
        <v>40</v>
      </c>
    </row>
    <row r="11" spans="1:7">
      <c r="B11" s="19" t="s">
        <v>38</v>
      </c>
      <c r="C11" s="18" t="str">
        <f>COM!B72</f>
        <v>CEK</v>
      </c>
      <c r="D11" s="18" t="str">
        <f>COM!C72</f>
        <v>Commercial - Cooking</v>
      </c>
      <c r="E11" s="19" t="s">
        <v>39</v>
      </c>
      <c r="F11" s="19" t="s">
        <v>40</v>
      </c>
    </row>
    <row r="12" spans="1:7">
      <c r="B12" s="19" t="s">
        <v>38</v>
      </c>
      <c r="C12" s="18" t="str">
        <f>COM!B73</f>
        <v>CEL</v>
      </c>
      <c r="D12" s="18" t="str">
        <f>COM!C73</f>
        <v>Commercial - Lighting</v>
      </c>
      <c r="E12" s="19" t="s">
        <v>39</v>
      </c>
      <c r="F12" s="19" t="s">
        <v>40</v>
      </c>
    </row>
    <row r="13" spans="1:7">
      <c r="B13" s="19" t="s">
        <v>38</v>
      </c>
      <c r="C13" s="18" t="str">
        <f>COM!B74</f>
        <v>CER</v>
      </c>
      <c r="D13" s="18" t="str">
        <f>COM!C74</f>
        <v>Commercial - Refrigeration</v>
      </c>
      <c r="E13" s="19" t="s">
        <v>39</v>
      </c>
      <c r="F13" s="19" t="s">
        <v>40</v>
      </c>
    </row>
    <row r="14" spans="1:7">
      <c r="B14" s="19" t="s">
        <v>38</v>
      </c>
      <c r="C14" s="18" t="str">
        <f>COM!B75</f>
        <v>CEW</v>
      </c>
      <c r="D14" s="18" t="str">
        <f>COM!C75</f>
        <v>Commercial - Water Heating</v>
      </c>
      <c r="E14" s="19" t="s">
        <v>39</v>
      </c>
      <c r="F14" s="19" t="s">
        <v>40</v>
      </c>
    </row>
    <row r="15" spans="1:7">
      <c r="B15" s="19" t="s">
        <v>38</v>
      </c>
      <c r="C15" s="18" t="str">
        <f>COM!B76</f>
        <v>CEG</v>
      </c>
      <c r="D15" s="18" t="str">
        <f>COM!C76</f>
        <v>Commercial - Public lights</v>
      </c>
      <c r="E15" s="19" t="s">
        <v>39</v>
      </c>
      <c r="F15" s="19" t="s">
        <v>40</v>
      </c>
    </row>
    <row r="16" spans="1:7">
      <c r="B16" s="19" t="s">
        <v>38</v>
      </c>
      <c r="C16" s="18" t="str">
        <f>COM!B77</f>
        <v>CET</v>
      </c>
      <c r="D16" s="18" t="str">
        <f>COM!C77</f>
        <v>Commercial - Public Water</v>
      </c>
      <c r="E16" s="19" t="s">
        <v>39</v>
      </c>
      <c r="F16" s="19" t="s">
        <v>40</v>
      </c>
    </row>
    <row r="17" spans="1:6">
      <c r="B17" s="19" t="s">
        <v>38</v>
      </c>
      <c r="C17" s="18" t="str">
        <f>COM!B78</f>
        <v>CEO</v>
      </c>
      <c r="D17" s="18" t="str">
        <f>COM!C78</f>
        <v>Commercial - Other</v>
      </c>
      <c r="E17" s="19" t="s">
        <v>39</v>
      </c>
      <c r="F17" s="19" t="s">
        <v>40</v>
      </c>
    </row>
    <row r="18" spans="1:6">
      <c r="A18" s="18" t="s">
        <v>17</v>
      </c>
    </row>
    <row r="19" spans="1:6">
      <c r="B19" s="19" t="s">
        <v>38</v>
      </c>
      <c r="C19" s="18" t="str">
        <f>COM!B81</f>
        <v>CNC</v>
      </c>
      <c r="D19" s="18" t="str">
        <f>COM!C81</f>
        <v>Commercial - Cooling</v>
      </c>
      <c r="E19" s="19" t="s">
        <v>39</v>
      </c>
      <c r="F19" s="19" t="s">
        <v>40</v>
      </c>
    </row>
    <row r="20" spans="1:6">
      <c r="B20" s="19" t="s">
        <v>38</v>
      </c>
      <c r="C20" s="18" t="str">
        <f>COM!B82</f>
        <v>CNH</v>
      </c>
      <c r="D20" s="18" t="str">
        <f>COM!C82</f>
        <v>Commercial - Space Heating</v>
      </c>
      <c r="E20" s="19" t="s">
        <v>39</v>
      </c>
      <c r="F20" s="19" t="s">
        <v>40</v>
      </c>
    </row>
    <row r="21" spans="1:6">
      <c r="B21" s="19" t="s">
        <v>38</v>
      </c>
      <c r="C21" s="18" t="str">
        <f>COM!B83</f>
        <v>CNK</v>
      </c>
      <c r="D21" s="18" t="str">
        <f>COM!C83</f>
        <v>Commercial - Cooking</v>
      </c>
      <c r="E21" s="19" t="s">
        <v>39</v>
      </c>
      <c r="F21" s="19" t="s">
        <v>40</v>
      </c>
    </row>
    <row r="22" spans="1:6">
      <c r="B22" s="19" t="s">
        <v>38</v>
      </c>
      <c r="C22" s="18" t="str">
        <f>COM!B84</f>
        <v>CNL</v>
      </c>
      <c r="D22" s="18" t="str">
        <f>COM!C84</f>
        <v>Commercial - Lighting</v>
      </c>
      <c r="E22" s="19" t="s">
        <v>39</v>
      </c>
      <c r="F22" s="19" t="s">
        <v>40</v>
      </c>
    </row>
    <row r="23" spans="1:6">
      <c r="B23" s="19" t="s">
        <v>38</v>
      </c>
      <c r="C23" s="18" t="str">
        <f>COM!B85</f>
        <v>CNR</v>
      </c>
      <c r="D23" s="18" t="str">
        <f>COM!C85</f>
        <v>Commercial - Refrigeration</v>
      </c>
      <c r="E23" s="19" t="s">
        <v>39</v>
      </c>
      <c r="F23" s="19" t="s">
        <v>40</v>
      </c>
    </row>
    <row r="24" spans="1:6">
      <c r="B24" s="19" t="s">
        <v>38</v>
      </c>
      <c r="C24" s="18" t="str">
        <f>COM!B86</f>
        <v>CNW</v>
      </c>
      <c r="D24" s="18" t="str">
        <f>COM!C86</f>
        <v>Commercial - Water Heating</v>
      </c>
      <c r="E24" s="19" t="s">
        <v>39</v>
      </c>
      <c r="F24" s="19" t="s">
        <v>40</v>
      </c>
    </row>
    <row r="25" spans="1:6">
      <c r="B25" s="19" t="s">
        <v>38</v>
      </c>
      <c r="C25" s="18" t="str">
        <f>COM!B87</f>
        <v>CNG</v>
      </c>
      <c r="D25" s="18" t="str">
        <f>COM!C87</f>
        <v>Commercial - Public lights</v>
      </c>
      <c r="E25" s="19" t="s">
        <v>39</v>
      </c>
      <c r="F25" s="19" t="s">
        <v>40</v>
      </c>
    </row>
    <row r="26" spans="1:6">
      <c r="B26" s="19" t="s">
        <v>38</v>
      </c>
      <c r="C26" s="18" t="str">
        <f>COM!B88</f>
        <v>CNT</v>
      </c>
      <c r="D26" s="18" t="str">
        <f>COM!C88</f>
        <v>Commercial - Public Water</v>
      </c>
      <c r="E26" s="19" t="s">
        <v>39</v>
      </c>
      <c r="F26" s="19" t="s">
        <v>40</v>
      </c>
    </row>
    <row r="27" spans="1:6">
      <c r="B27" s="19" t="s">
        <v>38</v>
      </c>
      <c r="C27" s="18" t="str">
        <f>COM!B89</f>
        <v>CNO</v>
      </c>
      <c r="D27" s="18" t="str">
        <f>COM!C89</f>
        <v>Commercial - Other</v>
      </c>
      <c r="E27" s="19" t="s">
        <v>39</v>
      </c>
      <c r="F27" s="19" t="s">
        <v>40</v>
      </c>
    </row>
  </sheetData>
  <pageMargins left="0.75" right="0.75" top="1" bottom="1" header="0.5" footer="0.5"/>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FFC000"/>
  </sheetPr>
  <dimension ref="A1:BC269"/>
  <sheetViews>
    <sheetView topLeftCell="A46" zoomScaleNormal="100" workbookViewId="0">
      <selection activeCell="G102" sqref="G102"/>
    </sheetView>
  </sheetViews>
  <sheetFormatPr defaultColWidth="9.109375" defaultRowHeight="14.4"/>
  <cols>
    <col min="1" max="1" width="9.109375" style="96"/>
    <col min="2" max="2" width="32.5546875" style="96" customWidth="1"/>
    <col min="3" max="3" width="31.88671875" style="96" customWidth="1"/>
    <col min="4" max="4" width="12" style="96" customWidth="1"/>
    <col min="5" max="5" width="13.44140625" style="96" customWidth="1"/>
    <col min="6" max="10" width="9.109375" style="96"/>
    <col min="11" max="11" width="6.88671875" style="95" customWidth="1"/>
    <col min="12" max="12" width="6.88671875" style="96" customWidth="1"/>
    <col min="13" max="13" width="8.5546875" style="96" customWidth="1"/>
    <col min="14" max="40" width="6.88671875" style="96" customWidth="1"/>
    <col min="41" max="41" width="9.44140625" style="96" customWidth="1"/>
    <col min="42" max="47" width="6.88671875" style="96" customWidth="1"/>
    <col min="48" max="48" width="9.88671875" style="96" customWidth="1"/>
    <col min="49" max="49" width="17.88671875" style="96" bestFit="1" customWidth="1"/>
    <col min="50" max="16384" width="9.109375" style="96"/>
  </cols>
  <sheetData>
    <row r="1" spans="1:48" s="4" customFormat="1">
      <c r="A1" s="4" t="str">
        <f>IF(COM,"TS DATA","")</f>
        <v>TS DATA</v>
      </c>
      <c r="B1" s="4" t="s">
        <v>18</v>
      </c>
      <c r="J1" s="41"/>
    </row>
    <row r="2" spans="1:48" s="4" customFormat="1" ht="15" thickBot="1">
      <c r="A2" s="4" t="s">
        <v>17</v>
      </c>
      <c r="B2" s="298" t="s">
        <v>305</v>
      </c>
      <c r="C2" s="298"/>
      <c r="J2" s="41"/>
    </row>
    <row r="3" spans="1:48">
      <c r="A3" s="4" t="s">
        <v>17</v>
      </c>
      <c r="J3" s="95">
        <f>MATCH(J4,MCEcon!$C$42:$AG$42,0)</f>
        <v>1</v>
      </c>
      <c r="K3" s="95">
        <f>MATCH(K4,MCEcon!$C$42:$AG$42,0)</f>
        <v>2</v>
      </c>
      <c r="L3" s="95">
        <f>MATCH(L4,MCEcon!$C$42:$AG$42,0)</f>
        <v>3</v>
      </c>
      <c r="M3" s="95">
        <f>MATCH(M4,MCEcon!$C$42:$AG$42,0)</f>
        <v>4</v>
      </c>
      <c r="N3" s="95">
        <f>MATCH(N4,MCEcon!$C$42:$AG$42,0)</f>
        <v>5</v>
      </c>
      <c r="O3" s="95">
        <f>MATCH(O4,MCEcon!$C$42:$AG$42,0)</f>
        <v>6</v>
      </c>
      <c r="P3" s="95">
        <f>MATCH(P4,MCEcon!$C$42:$AG$42,0)</f>
        <v>7</v>
      </c>
      <c r="Q3" s="95">
        <f>MATCH(Q4,MCEcon!$C$42:$AG$42,0)</f>
        <v>8</v>
      </c>
      <c r="R3" s="95">
        <f>MATCH(R4,MCEcon!$C$42:$AG$42,0)</f>
        <v>9</v>
      </c>
      <c r="S3" s="95">
        <f>MATCH(S4,MCEcon!$C$42:$AG$42,0)</f>
        <v>10</v>
      </c>
      <c r="T3" s="95">
        <f>MATCH(T4,MCEcon!$C$42:$AG$42,0)</f>
        <v>11</v>
      </c>
      <c r="U3" s="95">
        <f>MATCH(U4,MCEcon!$C$42:$AG$42,0)</f>
        <v>12</v>
      </c>
      <c r="V3" s="95">
        <f>MATCH(V4,MCEcon!$C$42:$AG$42,0)</f>
        <v>13</v>
      </c>
      <c r="W3" s="95">
        <f>MATCH(W4,MCEcon!$C$42:$AG$42,0)</f>
        <v>14</v>
      </c>
      <c r="X3" s="95">
        <f>MATCH(X4,MCEcon!$C$42:$AG$42,0)</f>
        <v>15</v>
      </c>
      <c r="Y3" s="95">
        <f>MATCH(Y4,MCEcon!$C$42:$AG$42,0)</f>
        <v>16</v>
      </c>
      <c r="Z3" s="95">
        <f>MATCH(Z4,MCEcon!$C$42:$AG$42,0)</f>
        <v>17</v>
      </c>
      <c r="AA3" s="95">
        <f>MATCH(AA4,MCEcon!$C$42:$AG$42,0)</f>
        <v>18</v>
      </c>
      <c r="AB3" s="95">
        <f>MATCH(AB4,MCEcon!$C$42:$AG$42,0)</f>
        <v>19</v>
      </c>
      <c r="AC3" s="95">
        <f>MATCH(AC4,MCEcon!$C$42:$AG$42,0)</f>
        <v>20</v>
      </c>
      <c r="AD3" s="95">
        <f>MATCH(AD4,MCEcon!$C$42:$AG$42,0)</f>
        <v>21</v>
      </c>
      <c r="AE3" s="95">
        <f>MATCH(AE4,MCEcon!$C$42:$AG$42,0)</f>
        <v>22</v>
      </c>
      <c r="AF3" s="95">
        <f>MATCH(AF4,MCEcon!$C$42:$AG$42,0)</f>
        <v>23</v>
      </c>
      <c r="AG3" s="95">
        <f>MATCH(AG4,MCEcon!$C$42:$AG$42,0)</f>
        <v>24</v>
      </c>
      <c r="AH3" s="95">
        <f>MATCH(AH4,MCEcon!$C$42:$AG$42,0)</f>
        <v>25</v>
      </c>
      <c r="AI3" s="95">
        <f>MATCH(AI4,MCEcon!$C$42:$AG$42,0)</f>
        <v>26</v>
      </c>
      <c r="AJ3" s="95">
        <f>MATCH(AJ4,MCEcon!$C$42:$AG$42,0)</f>
        <v>27</v>
      </c>
      <c r="AK3" s="95">
        <f>MATCH(AK4,MCEcon!$C$42:$AG$42,0)</f>
        <v>28</v>
      </c>
      <c r="AL3" s="95">
        <f>MATCH(AL4,MCEcon!$C$42:$AG$42,0)</f>
        <v>29</v>
      </c>
      <c r="AM3" s="95" t="e">
        <f>MATCH(AM4,MCEcon!$C$42:$AG$42,0)</f>
        <v>#N/A</v>
      </c>
      <c r="AN3" s="95" t="e">
        <f>MATCH(AN4,MCEcon!$C$42:$AG$42,0)</f>
        <v>#N/A</v>
      </c>
      <c r="AO3" s="95" t="e">
        <f>MATCH(AO4,MCEcon!$C$42:$AG$42,0)</f>
        <v>#N/A</v>
      </c>
      <c r="AP3" s="95" t="e">
        <f>MATCH(AP4,MCEcon!$C$42:$AG$42,0)</f>
        <v>#N/A</v>
      </c>
      <c r="AQ3" s="95">
        <f>MATCH(AQ4,MCEcon!$C$42:$AG$42,0)</f>
        <v>30</v>
      </c>
      <c r="AR3" s="95" t="e">
        <f>MATCH(AR4,MCEcon!$C$42:$AG$42,0)</f>
        <v>#N/A</v>
      </c>
      <c r="AS3" s="95" t="e">
        <f>MATCH(AS4,MCEcon!$C$42:$AG$42,0)</f>
        <v>#N/A</v>
      </c>
      <c r="AT3" s="95" t="e">
        <f>MATCH(AT4,MCEcon!$C$42:$AG$42,0)</f>
        <v>#N/A</v>
      </c>
      <c r="AU3" s="95" t="e">
        <f>MATCH(AU4,MCEcon!$C$42:$AG$42,0)</f>
        <v>#N/A</v>
      </c>
      <c r="AV3" s="95">
        <f>MATCH(AV4,MCEcon!$C$42:$AG$42,0)</f>
        <v>31</v>
      </c>
    </row>
    <row r="4" spans="1:48" ht="15" thickBot="1">
      <c r="A4" s="4" t="s">
        <v>17</v>
      </c>
      <c r="B4" s="93" t="s">
        <v>12</v>
      </c>
      <c r="C4" s="93"/>
      <c r="D4" s="93"/>
      <c r="E4" s="94"/>
      <c r="F4" s="94"/>
      <c r="G4" s="94"/>
      <c r="H4" s="94"/>
      <c r="I4" s="94"/>
      <c r="J4" s="95">
        <v>2012</v>
      </c>
      <c r="K4" s="96">
        <f>J4+1</f>
        <v>2013</v>
      </c>
      <c r="L4" s="96">
        <f>K4+1</f>
        <v>2014</v>
      </c>
      <c r="M4" s="96">
        <f t="shared" ref="M4:AB4" si="0">L4+1</f>
        <v>2015</v>
      </c>
      <c r="N4" s="96">
        <f t="shared" si="0"/>
        <v>2016</v>
      </c>
      <c r="O4" s="96">
        <f t="shared" si="0"/>
        <v>2017</v>
      </c>
      <c r="P4" s="96">
        <f t="shared" si="0"/>
        <v>2018</v>
      </c>
      <c r="Q4" s="96">
        <f t="shared" si="0"/>
        <v>2019</v>
      </c>
      <c r="R4" s="96">
        <f t="shared" si="0"/>
        <v>2020</v>
      </c>
      <c r="S4" s="96">
        <f t="shared" si="0"/>
        <v>2021</v>
      </c>
      <c r="T4" s="96">
        <f t="shared" si="0"/>
        <v>2022</v>
      </c>
      <c r="U4" s="96">
        <f t="shared" si="0"/>
        <v>2023</v>
      </c>
      <c r="V4" s="96">
        <f t="shared" si="0"/>
        <v>2024</v>
      </c>
      <c r="W4" s="96">
        <f t="shared" si="0"/>
        <v>2025</v>
      </c>
      <c r="X4" s="96">
        <f t="shared" si="0"/>
        <v>2026</v>
      </c>
      <c r="Y4" s="96">
        <f t="shared" si="0"/>
        <v>2027</v>
      </c>
      <c r="Z4" s="96">
        <f t="shared" si="0"/>
        <v>2028</v>
      </c>
      <c r="AA4" s="96">
        <f t="shared" si="0"/>
        <v>2029</v>
      </c>
      <c r="AB4" s="96">
        <f t="shared" si="0"/>
        <v>2030</v>
      </c>
      <c r="AC4" s="96">
        <f t="shared" ref="AC4:AR4" si="1">AB4+1</f>
        <v>2031</v>
      </c>
      <c r="AD4" s="96">
        <f t="shared" si="1"/>
        <v>2032</v>
      </c>
      <c r="AE4" s="96">
        <f t="shared" si="1"/>
        <v>2033</v>
      </c>
      <c r="AF4" s="96">
        <f t="shared" si="1"/>
        <v>2034</v>
      </c>
      <c r="AG4" s="96">
        <f t="shared" si="1"/>
        <v>2035</v>
      </c>
      <c r="AH4" s="96">
        <f t="shared" si="1"/>
        <v>2036</v>
      </c>
      <c r="AI4" s="96">
        <f t="shared" si="1"/>
        <v>2037</v>
      </c>
      <c r="AJ4" s="96">
        <f t="shared" si="1"/>
        <v>2038</v>
      </c>
      <c r="AK4" s="96">
        <f t="shared" si="1"/>
        <v>2039</v>
      </c>
      <c r="AL4" s="96">
        <f t="shared" si="1"/>
        <v>2040</v>
      </c>
      <c r="AM4" s="96">
        <f t="shared" si="1"/>
        <v>2041</v>
      </c>
      <c r="AN4" s="96">
        <f t="shared" si="1"/>
        <v>2042</v>
      </c>
      <c r="AO4" s="96">
        <f t="shared" si="1"/>
        <v>2043</v>
      </c>
      <c r="AP4" s="96">
        <f t="shared" si="1"/>
        <v>2044</v>
      </c>
      <c r="AQ4" s="96">
        <f t="shared" si="1"/>
        <v>2045</v>
      </c>
      <c r="AR4" s="96">
        <f t="shared" si="1"/>
        <v>2046</v>
      </c>
      <c r="AS4" s="96">
        <f>AR4+1</f>
        <v>2047</v>
      </c>
      <c r="AT4" s="96">
        <f>AS4+1</f>
        <v>2048</v>
      </c>
      <c r="AU4" s="96">
        <f>AT4+1</f>
        <v>2049</v>
      </c>
      <c r="AV4" s="96">
        <f>AU4+1</f>
        <v>2050</v>
      </c>
    </row>
    <row r="5" spans="1:48" s="4" customFormat="1">
      <c r="A5" s="4" t="s">
        <v>17</v>
      </c>
      <c r="C5" s="15">
        <v>1</v>
      </c>
      <c r="D5" s="4">
        <v>2012</v>
      </c>
      <c r="E5" s="9">
        <v>2017</v>
      </c>
      <c r="F5" s="9">
        <v>2020</v>
      </c>
      <c r="G5" s="15">
        <v>2030</v>
      </c>
      <c r="H5" s="15">
        <v>2050</v>
      </c>
      <c r="I5" s="4" t="s">
        <v>404</v>
      </c>
      <c r="J5" s="4">
        <f>MATCH(J$4,$D$5:$H$5,$C5)</f>
        <v>1</v>
      </c>
      <c r="K5" s="227">
        <f t="shared" ref="K5:P5" si="2">MATCH(K$4,$D$5:$H$5,$C5)</f>
        <v>1</v>
      </c>
      <c r="L5" s="227">
        <f t="shared" si="2"/>
        <v>1</v>
      </c>
      <c r="M5" s="227">
        <f t="shared" si="2"/>
        <v>1</v>
      </c>
      <c r="N5" s="227">
        <f t="shared" si="2"/>
        <v>1</v>
      </c>
      <c r="O5" s="227">
        <f t="shared" si="2"/>
        <v>2</v>
      </c>
      <c r="P5" s="227">
        <f t="shared" si="2"/>
        <v>2</v>
      </c>
      <c r="Q5" s="4">
        <f t="shared" ref="K5:AV6" si="3">MATCH(Q$4,$D$5:$H$5,$C5)</f>
        <v>2</v>
      </c>
      <c r="R5" s="4">
        <f t="shared" si="3"/>
        <v>3</v>
      </c>
      <c r="S5" s="4">
        <f t="shared" si="3"/>
        <v>3</v>
      </c>
      <c r="T5" s="4">
        <f t="shared" si="3"/>
        <v>3</v>
      </c>
      <c r="U5" s="4">
        <f t="shared" si="3"/>
        <v>3</v>
      </c>
      <c r="V5" s="4">
        <f t="shared" si="3"/>
        <v>3</v>
      </c>
      <c r="W5" s="4">
        <f t="shared" si="3"/>
        <v>3</v>
      </c>
      <c r="X5" s="4">
        <f t="shared" si="3"/>
        <v>3</v>
      </c>
      <c r="Y5" s="4">
        <f t="shared" si="3"/>
        <v>3</v>
      </c>
      <c r="Z5" s="4">
        <f t="shared" si="3"/>
        <v>3</v>
      </c>
      <c r="AA5" s="4">
        <f t="shared" si="3"/>
        <v>3</v>
      </c>
      <c r="AB5" s="4">
        <f t="shared" si="3"/>
        <v>4</v>
      </c>
      <c r="AC5" s="4">
        <f t="shared" si="3"/>
        <v>4</v>
      </c>
      <c r="AD5" s="4">
        <f t="shared" si="3"/>
        <v>4</v>
      </c>
      <c r="AE5" s="4">
        <f t="shared" si="3"/>
        <v>4</v>
      </c>
      <c r="AF5" s="4">
        <f t="shared" si="3"/>
        <v>4</v>
      </c>
      <c r="AG5" s="4">
        <f t="shared" si="3"/>
        <v>4</v>
      </c>
      <c r="AH5" s="4">
        <f t="shared" si="3"/>
        <v>4</v>
      </c>
      <c r="AI5" s="4">
        <f t="shared" si="3"/>
        <v>4</v>
      </c>
      <c r="AJ5" s="4">
        <f t="shared" si="3"/>
        <v>4</v>
      </c>
      <c r="AK5" s="4">
        <f t="shared" si="3"/>
        <v>4</v>
      </c>
      <c r="AL5" s="4">
        <f t="shared" si="3"/>
        <v>4</v>
      </c>
      <c r="AM5" s="4">
        <f t="shared" si="3"/>
        <v>4</v>
      </c>
      <c r="AN5" s="4">
        <f t="shared" si="3"/>
        <v>4</v>
      </c>
      <c r="AO5" s="4">
        <f t="shared" si="3"/>
        <v>4</v>
      </c>
      <c r="AP5" s="4">
        <f t="shared" si="3"/>
        <v>4</v>
      </c>
      <c r="AQ5" s="4">
        <f t="shared" si="3"/>
        <v>4</v>
      </c>
      <c r="AR5" s="4">
        <f t="shared" si="3"/>
        <v>4</v>
      </c>
      <c r="AS5" s="4">
        <f t="shared" si="3"/>
        <v>4</v>
      </c>
      <c r="AT5" s="4">
        <f t="shared" si="3"/>
        <v>4</v>
      </c>
      <c r="AU5" s="4">
        <f t="shared" si="3"/>
        <v>4</v>
      </c>
      <c r="AV5" s="4">
        <f t="shared" si="3"/>
        <v>5</v>
      </c>
    </row>
    <row r="6" spans="1:48" s="4" customFormat="1">
      <c r="A6" s="4" t="s">
        <v>17</v>
      </c>
      <c r="C6" s="15">
        <v>0</v>
      </c>
      <c r="D6" s="4">
        <f>INDEX($D5:$H5,0,COUNT($D5:$H5)-D7)</f>
        <v>2050</v>
      </c>
      <c r="E6" s="4">
        <f>INDEX($D5:$H5,0,COUNT($D5:$H5)-E7)</f>
        <v>2030</v>
      </c>
      <c r="F6" s="4">
        <f>INDEX($D5:$H5,0,COUNT($D5:$H5)-F7)</f>
        <v>2020</v>
      </c>
      <c r="G6" s="4">
        <f>INDEX($D5:$H5,0,COUNT($D5:$H5)-G7)</f>
        <v>2017</v>
      </c>
      <c r="H6" s="4">
        <f>INDEX($D5:$H5,0,COUNT($D5:$H5)-H7)</f>
        <v>2012</v>
      </c>
      <c r="I6" s="4" t="s">
        <v>405</v>
      </c>
      <c r="J6" s="4">
        <f>MATCH(J$4,$D$5:$H$5,$C6)</f>
        <v>1</v>
      </c>
      <c r="K6" s="4" t="e">
        <f t="shared" si="3"/>
        <v>#N/A</v>
      </c>
      <c r="L6" s="4" t="e">
        <f t="shared" si="3"/>
        <v>#N/A</v>
      </c>
      <c r="M6" s="4" t="e">
        <f t="shared" si="3"/>
        <v>#N/A</v>
      </c>
      <c r="N6" s="4" t="e">
        <f t="shared" si="3"/>
        <v>#N/A</v>
      </c>
      <c r="O6" s="4">
        <f t="shared" si="3"/>
        <v>2</v>
      </c>
      <c r="P6" s="4" t="e">
        <f t="shared" si="3"/>
        <v>#N/A</v>
      </c>
      <c r="Q6" s="4" t="e">
        <f t="shared" si="3"/>
        <v>#N/A</v>
      </c>
      <c r="R6" s="4">
        <f t="shared" si="3"/>
        <v>3</v>
      </c>
      <c r="S6" s="4" t="e">
        <f t="shared" si="3"/>
        <v>#N/A</v>
      </c>
      <c r="T6" s="4" t="e">
        <f t="shared" si="3"/>
        <v>#N/A</v>
      </c>
      <c r="U6" s="4" t="e">
        <f t="shared" si="3"/>
        <v>#N/A</v>
      </c>
      <c r="V6" s="4" t="e">
        <f t="shared" si="3"/>
        <v>#N/A</v>
      </c>
      <c r="W6" s="4" t="e">
        <f t="shared" si="3"/>
        <v>#N/A</v>
      </c>
      <c r="X6" s="4" t="e">
        <f t="shared" si="3"/>
        <v>#N/A</v>
      </c>
      <c r="Y6" s="4" t="e">
        <f t="shared" si="3"/>
        <v>#N/A</v>
      </c>
      <c r="Z6" s="4" t="e">
        <f t="shared" si="3"/>
        <v>#N/A</v>
      </c>
      <c r="AA6" s="4" t="e">
        <f t="shared" si="3"/>
        <v>#N/A</v>
      </c>
      <c r="AB6" s="4">
        <f t="shared" si="3"/>
        <v>4</v>
      </c>
      <c r="AC6" s="4" t="e">
        <f t="shared" si="3"/>
        <v>#N/A</v>
      </c>
      <c r="AD6" s="4" t="e">
        <f t="shared" si="3"/>
        <v>#N/A</v>
      </c>
      <c r="AE6" s="4" t="e">
        <f t="shared" si="3"/>
        <v>#N/A</v>
      </c>
      <c r="AF6" s="4" t="e">
        <f t="shared" si="3"/>
        <v>#N/A</v>
      </c>
      <c r="AG6" s="4" t="e">
        <f t="shared" si="3"/>
        <v>#N/A</v>
      </c>
      <c r="AH6" s="4" t="e">
        <f t="shared" si="3"/>
        <v>#N/A</v>
      </c>
      <c r="AI6" s="4" t="e">
        <f t="shared" si="3"/>
        <v>#N/A</v>
      </c>
      <c r="AJ6" s="4" t="e">
        <f t="shared" si="3"/>
        <v>#N/A</v>
      </c>
      <c r="AK6" s="4" t="e">
        <f t="shared" si="3"/>
        <v>#N/A</v>
      </c>
      <c r="AL6" s="4" t="e">
        <f t="shared" si="3"/>
        <v>#N/A</v>
      </c>
      <c r="AM6" s="4" t="e">
        <f t="shared" si="3"/>
        <v>#N/A</v>
      </c>
      <c r="AN6" s="4" t="e">
        <f t="shared" si="3"/>
        <v>#N/A</v>
      </c>
      <c r="AO6" s="4" t="e">
        <f t="shared" si="3"/>
        <v>#N/A</v>
      </c>
      <c r="AP6" s="4" t="e">
        <f t="shared" si="3"/>
        <v>#N/A</v>
      </c>
      <c r="AQ6" s="4" t="e">
        <f t="shared" si="3"/>
        <v>#N/A</v>
      </c>
      <c r="AR6" s="4" t="e">
        <f t="shared" si="3"/>
        <v>#N/A</v>
      </c>
      <c r="AS6" s="4" t="e">
        <f t="shared" si="3"/>
        <v>#N/A</v>
      </c>
      <c r="AT6" s="4" t="e">
        <f t="shared" si="3"/>
        <v>#N/A</v>
      </c>
      <c r="AU6" s="4" t="e">
        <f t="shared" si="3"/>
        <v>#N/A</v>
      </c>
      <c r="AV6" s="4">
        <f t="shared" si="3"/>
        <v>5</v>
      </c>
    </row>
    <row r="7" spans="1:48" s="4" customFormat="1">
      <c r="A7" s="4" t="s">
        <v>17</v>
      </c>
      <c r="C7" s="15">
        <v>-1</v>
      </c>
      <c r="D7" s="4">
        <v>0</v>
      </c>
      <c r="E7" s="4">
        <v>1</v>
      </c>
      <c r="F7" s="4">
        <v>2</v>
      </c>
      <c r="G7" s="4">
        <v>3</v>
      </c>
      <c r="H7" s="4">
        <v>4</v>
      </c>
      <c r="I7" s="4" t="s">
        <v>403</v>
      </c>
      <c r="J7" s="4">
        <f>MATCH(J$4,$D$6:$H$6,$C7)</f>
        <v>5</v>
      </c>
      <c r="K7" s="4">
        <f t="shared" ref="K7:AV7" si="4">MATCH(K$4,$D$6:$H$6,$C7)</f>
        <v>4</v>
      </c>
      <c r="L7" s="4">
        <f t="shared" si="4"/>
        <v>4</v>
      </c>
      <c r="M7" s="4">
        <f t="shared" si="4"/>
        <v>4</v>
      </c>
      <c r="N7" s="4">
        <f t="shared" si="4"/>
        <v>4</v>
      </c>
      <c r="O7" s="4">
        <f t="shared" si="4"/>
        <v>4</v>
      </c>
      <c r="P7" s="4">
        <f t="shared" si="4"/>
        <v>3</v>
      </c>
      <c r="Q7" s="4">
        <f t="shared" si="4"/>
        <v>3</v>
      </c>
      <c r="R7" s="4">
        <f t="shared" si="4"/>
        <v>3</v>
      </c>
      <c r="S7" s="4">
        <f t="shared" si="4"/>
        <v>2</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1</v>
      </c>
      <c r="AD7" s="4">
        <f t="shared" si="4"/>
        <v>1</v>
      </c>
      <c r="AE7" s="4">
        <f t="shared" si="4"/>
        <v>1</v>
      </c>
      <c r="AF7" s="4">
        <f t="shared" si="4"/>
        <v>1</v>
      </c>
      <c r="AG7" s="4">
        <f t="shared" si="4"/>
        <v>1</v>
      </c>
      <c r="AH7" s="4">
        <f t="shared" si="4"/>
        <v>1</v>
      </c>
      <c r="AI7" s="4">
        <f t="shared" si="4"/>
        <v>1</v>
      </c>
      <c r="AJ7" s="4">
        <f t="shared" si="4"/>
        <v>1</v>
      </c>
      <c r="AK7" s="4">
        <f t="shared" si="4"/>
        <v>1</v>
      </c>
      <c r="AL7" s="4">
        <f t="shared" si="4"/>
        <v>1</v>
      </c>
      <c r="AM7" s="4">
        <f t="shared" si="4"/>
        <v>1</v>
      </c>
      <c r="AN7" s="4">
        <f t="shared" si="4"/>
        <v>1</v>
      </c>
      <c r="AO7" s="4">
        <f t="shared" si="4"/>
        <v>1</v>
      </c>
      <c r="AP7" s="4">
        <f t="shared" si="4"/>
        <v>1</v>
      </c>
      <c r="AQ7" s="4">
        <f t="shared" si="4"/>
        <v>1</v>
      </c>
      <c r="AR7" s="4">
        <f t="shared" si="4"/>
        <v>1</v>
      </c>
      <c r="AS7" s="4">
        <f t="shared" si="4"/>
        <v>1</v>
      </c>
      <c r="AT7" s="4">
        <f t="shared" si="4"/>
        <v>1</v>
      </c>
      <c r="AU7" s="4">
        <f t="shared" si="4"/>
        <v>1</v>
      </c>
      <c r="AV7" s="4">
        <f t="shared" si="4"/>
        <v>1</v>
      </c>
    </row>
    <row r="8" spans="1:48" s="4" customFormat="1">
      <c r="A8" s="4" t="s">
        <v>17</v>
      </c>
      <c r="I8" s="4" t="s">
        <v>406</v>
      </c>
      <c r="J8" s="5">
        <f>IF(ISNA(J5),-1,IF(ISNA(J7),99,IF(ISNA(J6),J5,0)))</f>
        <v>0</v>
      </c>
      <c r="K8" s="5">
        <f t="shared" ref="K8:AV8" si="5">IF(ISNA(K5),-1,IF(ISNA(K7),99,IF(ISNA(K6),K5,0)))</f>
        <v>1</v>
      </c>
      <c r="L8" s="5">
        <f t="shared" si="5"/>
        <v>1</v>
      </c>
      <c r="M8" s="5">
        <v>1</v>
      </c>
      <c r="N8" s="5">
        <v>1</v>
      </c>
      <c r="O8" s="5">
        <v>0</v>
      </c>
      <c r="P8" s="5">
        <f t="shared" si="5"/>
        <v>2</v>
      </c>
      <c r="Q8" s="5">
        <f t="shared" si="5"/>
        <v>2</v>
      </c>
      <c r="R8" s="5">
        <f t="shared" si="5"/>
        <v>0</v>
      </c>
      <c r="S8" s="5">
        <f t="shared" si="5"/>
        <v>3</v>
      </c>
      <c r="T8" s="5">
        <f t="shared" si="5"/>
        <v>3</v>
      </c>
      <c r="U8" s="5">
        <f t="shared" si="5"/>
        <v>3</v>
      </c>
      <c r="V8" s="5">
        <f t="shared" si="5"/>
        <v>3</v>
      </c>
      <c r="W8" s="5">
        <f t="shared" si="5"/>
        <v>3</v>
      </c>
      <c r="X8" s="5">
        <f t="shared" si="5"/>
        <v>3</v>
      </c>
      <c r="Y8" s="5">
        <f t="shared" si="5"/>
        <v>3</v>
      </c>
      <c r="Z8" s="5">
        <f t="shared" si="5"/>
        <v>3</v>
      </c>
      <c r="AA8" s="5">
        <f t="shared" si="5"/>
        <v>3</v>
      </c>
      <c r="AB8" s="5">
        <f t="shared" si="5"/>
        <v>0</v>
      </c>
      <c r="AC8" s="5">
        <f t="shared" si="5"/>
        <v>4</v>
      </c>
      <c r="AD8" s="5">
        <f t="shared" si="5"/>
        <v>4</v>
      </c>
      <c r="AE8" s="5">
        <f t="shared" si="5"/>
        <v>4</v>
      </c>
      <c r="AF8" s="5">
        <f t="shared" si="5"/>
        <v>4</v>
      </c>
      <c r="AG8" s="5">
        <f t="shared" si="5"/>
        <v>4</v>
      </c>
      <c r="AH8" s="5">
        <f t="shared" si="5"/>
        <v>4</v>
      </c>
      <c r="AI8" s="5">
        <f t="shared" si="5"/>
        <v>4</v>
      </c>
      <c r="AJ8" s="5">
        <f t="shared" si="5"/>
        <v>4</v>
      </c>
      <c r="AK8" s="5">
        <f t="shared" si="5"/>
        <v>4</v>
      </c>
      <c r="AL8" s="5">
        <f t="shared" si="5"/>
        <v>4</v>
      </c>
      <c r="AM8" s="5">
        <f t="shared" si="5"/>
        <v>4</v>
      </c>
      <c r="AN8" s="5">
        <f t="shared" si="5"/>
        <v>4</v>
      </c>
      <c r="AO8" s="5">
        <f t="shared" si="5"/>
        <v>4</v>
      </c>
      <c r="AP8" s="5">
        <f t="shared" si="5"/>
        <v>4</v>
      </c>
      <c r="AQ8" s="5">
        <f t="shared" si="5"/>
        <v>4</v>
      </c>
      <c r="AR8" s="5">
        <f t="shared" si="5"/>
        <v>4</v>
      </c>
      <c r="AS8" s="5">
        <f t="shared" si="5"/>
        <v>4</v>
      </c>
      <c r="AT8" s="5">
        <f t="shared" si="5"/>
        <v>4</v>
      </c>
      <c r="AU8" s="5">
        <f t="shared" si="5"/>
        <v>4</v>
      </c>
      <c r="AV8" s="5">
        <f t="shared" si="5"/>
        <v>0</v>
      </c>
    </row>
    <row r="9" spans="1:48">
      <c r="A9" s="4" t="s">
        <v>17</v>
      </c>
      <c r="B9" s="96" t="s">
        <v>10</v>
      </c>
      <c r="C9" s="96" t="s">
        <v>11</v>
      </c>
      <c r="J9" s="95"/>
      <c r="K9" s="96"/>
    </row>
    <row r="10" spans="1:48">
      <c r="A10" s="4" t="s">
        <v>17</v>
      </c>
      <c r="B10" s="176" t="s">
        <v>5</v>
      </c>
      <c r="C10" s="96" t="s">
        <v>4</v>
      </c>
      <c r="E10" s="96">
        <f>MATCH(B10,MCEcon!A44:A59,0)</f>
        <v>1</v>
      </c>
      <c r="J10" s="6">
        <f>INDEX(MCEcon!$C$44:$AG$59,$E$10,J3)</f>
        <v>0.26490301139712186</v>
      </c>
      <c r="K10" s="6">
        <f>INDEX(MCEcon!$C$44:$AG$59,$E$10,K3)</f>
        <v>0.27077871816909826</v>
      </c>
      <c r="L10" s="6">
        <f>INDEX(MCEcon!$C$44:$AG$59,$E$10,L3)</f>
        <v>0.27665442494107467</v>
      </c>
      <c r="M10" s="6">
        <f>INDEX(MCEcon!$C$44:$AG$59,$E$10,M3)</f>
        <v>0.28253013171305114</v>
      </c>
      <c r="N10" s="6">
        <f>INDEX(MCEcon!$C$44:$AG$59,$E$10,N3)</f>
        <v>0.28603444916133403</v>
      </c>
      <c r="O10" s="6">
        <f>INDEX(MCEcon!$C$44:$AG$59,$E$10,O3)</f>
        <v>0.28953876660961692</v>
      </c>
      <c r="P10" s="6">
        <f>INDEX(MCEcon!$C$44:$AG$59,$E$10,P3)</f>
        <v>0.29304308405789981</v>
      </c>
      <c r="Q10" s="6">
        <f>INDEX(MCEcon!$C$44:$AG$59,$E$10,Q3)</f>
        <v>0.2965474015061827</v>
      </c>
      <c r="R10" s="6">
        <f>INDEX(MCEcon!$C$44:$AG$59,$E$10,R3)</f>
        <v>0.30005171895446547</v>
      </c>
      <c r="S10" s="6">
        <f>INDEX(MCEcon!$C$44:$AG$59,$E$10,S3)</f>
        <v>0.30482791424272659</v>
      </c>
      <c r="T10" s="6">
        <f>INDEX(MCEcon!$C$44:$AG$59,$E$10,T3)</f>
        <v>0.30960410953098771</v>
      </c>
      <c r="U10" s="6">
        <f>INDEX(MCEcon!$C$44:$AG$59,$E$10,U3)</f>
        <v>0.31438030481924883</v>
      </c>
      <c r="V10" s="6">
        <f>INDEX(MCEcon!$C$44:$AG$59,$E$10,V3)</f>
        <v>0.31915650010750996</v>
      </c>
      <c r="W10" s="6">
        <f>INDEX(MCEcon!$C$44:$AG$59,$E$10,W3)</f>
        <v>0.32393269539577119</v>
      </c>
      <c r="X10" s="6">
        <f>INDEX(MCEcon!$C$44:$AG$59,$E$10,X3)</f>
        <v>0.3304190239088195</v>
      </c>
      <c r="Y10" s="6">
        <f>INDEX(MCEcon!$C$44:$AG$59,$E$10,Y3)</f>
        <v>0.33690535242186781</v>
      </c>
      <c r="Z10" s="6">
        <f>INDEX(MCEcon!$C$44:$AG$59,$E$10,Z3)</f>
        <v>0.34339168093491612</v>
      </c>
      <c r="AA10" s="6">
        <f>INDEX(MCEcon!$C$44:$AG$59,$E$10,AA3)</f>
        <v>0.34987800944796443</v>
      </c>
      <c r="AB10" s="6">
        <f>INDEX(MCEcon!$C$44:$AG$59,$E$10,AB3)</f>
        <v>0.3563643379610128</v>
      </c>
      <c r="AC10" s="6">
        <f>INDEX(MCEcon!$C$44:$AG$59,$E$10,AC3)</f>
        <v>0.36381947391314756</v>
      </c>
      <c r="AD10" s="6">
        <f>INDEX(MCEcon!$C$44:$AG$59,$E$10,AD3)</f>
        <v>0.37127460986528232</v>
      </c>
      <c r="AE10" s="6">
        <f>INDEX(MCEcon!$C$44:$AG$59,$E$10,AE3)</f>
        <v>0.37872974581741708</v>
      </c>
      <c r="AF10" s="6">
        <f>INDEX(MCEcon!$C$44:$AG$59,$E$10,AF3)</f>
        <v>0.38618488176955185</v>
      </c>
      <c r="AG10" s="6">
        <f>INDEX(MCEcon!$C$44:$AG$59,$E$10,AG3)</f>
        <v>0.39364001772168666</v>
      </c>
      <c r="AH10" s="6">
        <f>INDEX(MCEcon!$C$44:$AG$59,$E$10,AH3)</f>
        <v>0.40211398872355136</v>
      </c>
      <c r="AI10" s="6">
        <f>INDEX(MCEcon!$C$44:$AG$59,$E$10,AI3)</f>
        <v>0.41058795972541606</v>
      </c>
      <c r="AJ10" s="6">
        <f>INDEX(MCEcon!$C$44:$AG$59,$E$10,AJ3)</f>
        <v>0.41906193072728076</v>
      </c>
      <c r="AK10" s="6">
        <f>INDEX(MCEcon!$C$44:$AG$59,$E$10,AK3)</f>
        <v>0.42753590172914546</v>
      </c>
      <c r="AL10" s="6">
        <f>INDEX(MCEcon!$C$44:$AG$59,$E$10,AL3)</f>
        <v>0.43600987273101027</v>
      </c>
      <c r="AM10" s="6">
        <f>(AQ10-AL10)/5+AL10</f>
        <v>0.44478254487960622</v>
      </c>
      <c r="AN10" s="6">
        <f>(AQ10-AL10)/5+AM10</f>
        <v>0.45355521702820217</v>
      </c>
      <c r="AO10" s="6">
        <f>(AQ10-AL10)/5+AN10</f>
        <v>0.46232788917679812</v>
      </c>
      <c r="AP10" s="6">
        <f>(AQ10-AL10)/5+AO10</f>
        <v>0.47110056132539407</v>
      </c>
      <c r="AQ10" s="6">
        <f>INDEX(MCEcon!$C$44:$AG$59,$E$10,AQ3)</f>
        <v>0.47987323347399008</v>
      </c>
      <c r="AR10" s="6">
        <f>(AV10-AQ10)/5+AQ10</f>
        <v>0.48872277530493907</v>
      </c>
      <c r="AS10" s="6">
        <f>(AV10-AQ10)/5+AR10</f>
        <v>0.49757231713588806</v>
      </c>
      <c r="AT10" s="6">
        <f>(AV10-AQ10)/5+AS10</f>
        <v>0.506421858966837</v>
      </c>
      <c r="AU10" s="6">
        <f>(AV10-AQ10)/5+AT10</f>
        <v>0.51527140079778599</v>
      </c>
      <c r="AV10" s="6">
        <f>INDEX(MCEcon!$C$44:$AG$59,$E$10,AV3)</f>
        <v>0.52412094262873499</v>
      </c>
    </row>
    <row r="11" spans="1:48">
      <c r="A11" s="4" t="s">
        <v>17</v>
      </c>
      <c r="B11" s="99" t="s">
        <v>228</v>
      </c>
      <c r="C11" s="100"/>
      <c r="D11" s="100"/>
      <c r="E11" s="100"/>
      <c r="F11" s="100"/>
      <c r="G11" s="100"/>
      <c r="H11" s="100"/>
      <c r="I11" s="100"/>
      <c r="J11" s="101" t="str">
        <f t="shared" ref="J11:AV11" si="6">INDEX($C$14:$C$18,MATCH(J$12,$B$14:$B$18,0))</f>
        <v>A</v>
      </c>
      <c r="K11" s="101" t="str">
        <f t="shared" si="6"/>
        <v>A</v>
      </c>
      <c r="L11" s="101" t="str">
        <f t="shared" si="6"/>
        <v>A</v>
      </c>
      <c r="M11" s="101" t="str">
        <f t="shared" si="6"/>
        <v>A</v>
      </c>
      <c r="N11" s="101" t="str">
        <f t="shared" si="6"/>
        <v>A</v>
      </c>
      <c r="O11" s="101" t="str">
        <f t="shared" si="6"/>
        <v>A</v>
      </c>
      <c r="P11" s="101" t="str">
        <f t="shared" si="6"/>
        <v>B</v>
      </c>
      <c r="Q11" s="101" t="str">
        <f t="shared" si="6"/>
        <v>B</v>
      </c>
      <c r="R11" s="101" t="str">
        <f t="shared" si="6"/>
        <v>B</v>
      </c>
      <c r="S11" s="101" t="str">
        <f t="shared" si="6"/>
        <v>B</v>
      </c>
      <c r="T11" s="101" t="str">
        <f t="shared" si="6"/>
        <v>B</v>
      </c>
      <c r="U11" s="101" t="str">
        <f t="shared" si="6"/>
        <v>B</v>
      </c>
      <c r="V11" s="101" t="str">
        <f t="shared" si="6"/>
        <v>B</v>
      </c>
      <c r="W11" s="101" t="str">
        <f t="shared" si="6"/>
        <v>B</v>
      </c>
      <c r="X11" s="101" t="str">
        <f t="shared" si="6"/>
        <v>B</v>
      </c>
      <c r="Y11" s="101" t="str">
        <f t="shared" si="6"/>
        <v>B</v>
      </c>
      <c r="Z11" s="101" t="str">
        <f t="shared" si="6"/>
        <v>B</v>
      </c>
      <c r="AA11" s="101" t="str">
        <f t="shared" si="6"/>
        <v>B</v>
      </c>
      <c r="AB11" s="101" t="str">
        <f t="shared" si="6"/>
        <v>B</v>
      </c>
      <c r="AC11" s="101" t="str">
        <f t="shared" si="6"/>
        <v>C</v>
      </c>
      <c r="AD11" s="101" t="str">
        <f t="shared" si="6"/>
        <v>C</v>
      </c>
      <c r="AE11" s="101" t="str">
        <f t="shared" si="6"/>
        <v>C</v>
      </c>
      <c r="AF11" s="101" t="str">
        <f t="shared" si="6"/>
        <v>C</v>
      </c>
      <c r="AG11" s="101" t="str">
        <f t="shared" si="6"/>
        <v>C</v>
      </c>
      <c r="AH11" s="101" t="str">
        <f t="shared" si="6"/>
        <v>C</v>
      </c>
      <c r="AI11" s="101" t="str">
        <f t="shared" si="6"/>
        <v>C</v>
      </c>
      <c r="AJ11" s="101" t="str">
        <f t="shared" si="6"/>
        <v>C</v>
      </c>
      <c r="AK11" s="101" t="str">
        <f t="shared" si="6"/>
        <v>C</v>
      </c>
      <c r="AL11" s="101" t="str">
        <f t="shared" si="6"/>
        <v>C</v>
      </c>
      <c r="AM11" s="101" t="str">
        <f t="shared" si="6"/>
        <v>D</v>
      </c>
      <c r="AN11" s="101" t="str">
        <f t="shared" si="6"/>
        <v>D</v>
      </c>
      <c r="AO11" s="101" t="str">
        <f t="shared" si="6"/>
        <v>D</v>
      </c>
      <c r="AP11" s="101" t="str">
        <f t="shared" si="6"/>
        <v>D</v>
      </c>
      <c r="AQ11" s="101" t="str">
        <f t="shared" si="6"/>
        <v>D</v>
      </c>
      <c r="AR11" s="101" t="str">
        <f t="shared" si="6"/>
        <v>D</v>
      </c>
      <c r="AS11" s="101" t="str">
        <f t="shared" si="6"/>
        <v>D</v>
      </c>
      <c r="AT11" s="101" t="str">
        <f t="shared" si="6"/>
        <v>D</v>
      </c>
      <c r="AU11" s="101" t="str">
        <f t="shared" si="6"/>
        <v>D</v>
      </c>
      <c r="AV11" s="101" t="str">
        <f t="shared" si="6"/>
        <v>D</v>
      </c>
    </row>
    <row r="12" spans="1:48">
      <c r="A12" s="4" t="s">
        <v>17</v>
      </c>
      <c r="B12" s="176"/>
      <c r="J12" s="95">
        <f t="array" ref="J12">SUM($B$14:$B$18*(J4&gt;=$D$14:$D$18)*(J4&lt;=$E$14:$E$18))</f>
        <v>1</v>
      </c>
      <c r="K12" s="95">
        <f t="array" ref="K12">SUM($B$14:$B$17*(K4&gt;=$D$14:$D$17)*(K4&lt;=$E$14:$E$17))</f>
        <v>1</v>
      </c>
      <c r="L12" s="95">
        <f t="array" ref="L12">SUM($B$14:$B$17*(L4&gt;=$D$14:$D$17)*(L4&lt;=$E$14:$E$17))</f>
        <v>1</v>
      </c>
      <c r="M12" s="95">
        <f t="array" ref="M12">SUM($B$14:$B$17*(M4&gt;=$D$14:$D$17)*(M4&lt;=$E$14:$E$17))</f>
        <v>1</v>
      </c>
      <c r="N12" s="95">
        <f t="array" ref="N12">SUM($B$14:$B$17*(N4&gt;=$D$14:$D$17)*(N4&lt;=$E$14:$E$17))</f>
        <v>1</v>
      </c>
      <c r="O12" s="95">
        <f t="array" ref="O12">SUM($B$14:$B$17*(O4&gt;=$D$14:$D$17)*(O4&lt;=$E$14:$E$17))</f>
        <v>1</v>
      </c>
      <c r="P12" s="95">
        <f t="array" ref="P12">SUM($B$14:$B$17*(P4&gt;=$D$14:$D$17)*(P4&lt;=$E$14:$E$17))</f>
        <v>2</v>
      </c>
      <c r="Q12" s="95">
        <f t="array" ref="Q12">SUM($B$14:$B$17*(Q4&gt;=$D$14:$D$17)*(Q4&lt;=$E$14:$E$17))</f>
        <v>2</v>
      </c>
      <c r="R12" s="95">
        <f t="array" ref="R12">SUM($B$14:$B$17*(R4&gt;=$D$14:$D$17)*(R4&lt;=$E$14:$E$17))</f>
        <v>2</v>
      </c>
      <c r="S12" s="95">
        <f t="array" ref="S12">SUM($B$14:$B$17*(S4&gt;=$D$14:$D$17)*(S4&lt;=$E$14:$E$17))</f>
        <v>2</v>
      </c>
      <c r="T12" s="95">
        <f t="array" ref="T12">SUM($B$14:$B$17*(T4&gt;=$D$14:$D$17)*(T4&lt;=$E$14:$E$17))</f>
        <v>2</v>
      </c>
      <c r="U12" s="95">
        <f t="array" ref="U12">SUM($B$14:$B$17*(U4&gt;=$D$14:$D$17)*(U4&lt;=$E$14:$E$17))</f>
        <v>2</v>
      </c>
      <c r="V12" s="95">
        <f t="array" ref="V12">SUM($B$14:$B$17*(V4&gt;=$D$14:$D$17)*(V4&lt;=$E$14:$E$17))</f>
        <v>2</v>
      </c>
      <c r="W12" s="95">
        <f t="array" ref="W12">SUM($B$14:$B$17*(W4&gt;=$D$14:$D$17)*(W4&lt;=$E$14:$E$17))</f>
        <v>2</v>
      </c>
      <c r="X12" s="95">
        <f t="array" ref="X12">SUM($B$14:$B$17*(X4&gt;=$D$14:$D$17)*(X4&lt;=$E$14:$E$17))</f>
        <v>2</v>
      </c>
      <c r="Y12" s="95">
        <f t="array" ref="Y12">SUM($B$14:$B$17*(Y4&gt;=$D$14:$D$17)*(Y4&lt;=$E$14:$E$17))</f>
        <v>2</v>
      </c>
      <c r="Z12" s="95">
        <f t="array" ref="Z12">SUM($B$14:$B$17*(Z4&gt;=$D$14:$D$17)*(Z4&lt;=$E$14:$E$17))</f>
        <v>2</v>
      </c>
      <c r="AA12" s="95">
        <f t="array" ref="AA12">SUM($B$14:$B$17*(AA4&gt;=$D$14:$D$17)*(AA4&lt;=$E$14:$E$17))</f>
        <v>2</v>
      </c>
      <c r="AB12" s="95">
        <f t="array" ref="AB12">SUM($B$14:$B$17*(AB4&gt;=$D$14:$D$17)*(AB4&lt;=$E$14:$E$17))</f>
        <v>2</v>
      </c>
      <c r="AC12" s="95">
        <f t="array" ref="AC12">SUM($B$14:$B$17*(AC4&gt;=$D$14:$D$17)*(AC4&lt;=$E$14:$E$17))</f>
        <v>3</v>
      </c>
      <c r="AD12" s="95">
        <f t="array" ref="AD12">SUM($B$14:$B$17*(AD4&gt;=$D$14:$D$17)*(AD4&lt;=$E$14:$E$17))</f>
        <v>3</v>
      </c>
      <c r="AE12" s="95">
        <f t="array" ref="AE12">SUM($B$14:$B$17*(AE4&gt;=$D$14:$D$17)*(AE4&lt;=$E$14:$E$17))</f>
        <v>3</v>
      </c>
      <c r="AF12" s="95">
        <f t="array" ref="AF12">SUM($B$14:$B$17*(AF4&gt;=$D$14:$D$17)*(AF4&lt;=$E$14:$E$17))</f>
        <v>3</v>
      </c>
      <c r="AG12" s="95">
        <f t="array" ref="AG12">SUM($B$14:$B$17*(AG4&gt;=$D$14:$D$17)*(AG4&lt;=$E$14:$E$17))</f>
        <v>3</v>
      </c>
      <c r="AH12" s="95">
        <f t="array" ref="AH12">SUM($B$14:$B$17*(AH4&gt;=$D$14:$D$17)*(AH4&lt;=$E$14:$E$17))</f>
        <v>3</v>
      </c>
      <c r="AI12" s="95">
        <f t="array" ref="AI12">SUM($B$14:$B$17*(AI4&gt;=$D$14:$D$17)*(AI4&lt;=$E$14:$E$17))</f>
        <v>3</v>
      </c>
      <c r="AJ12" s="95">
        <f t="array" ref="AJ12">SUM($B$14:$B$17*(AJ4&gt;=$D$14:$D$17)*(AJ4&lt;=$E$14:$E$17))</f>
        <v>3</v>
      </c>
      <c r="AK12" s="95">
        <f t="array" ref="AK12">SUM($B$14:$B$17*(AK4&gt;=$D$14:$D$17)*(AK4&lt;=$E$14:$E$17))</f>
        <v>3</v>
      </c>
      <c r="AL12" s="95">
        <f t="array" ref="AL12">SUM($B$14:$B$17*(AL4&gt;=$D$14:$D$17)*(AL4&lt;=$E$14:$E$17))</f>
        <v>3</v>
      </c>
      <c r="AM12" s="95">
        <f t="array" ref="AM12">SUM($B$14:$B$17*(AM4&gt;=$D$14:$D$17)*(AM4&lt;=$E$14:$E$17))</f>
        <v>4</v>
      </c>
      <c r="AN12" s="95">
        <f t="array" ref="AN12">SUM($B$14:$B$17*(AN4&gt;=$D$14:$D$17)*(AN4&lt;=$E$14:$E$17))</f>
        <v>4</v>
      </c>
      <c r="AO12" s="95">
        <f t="array" ref="AO12">SUM($B$14:$B$17*(AO4&gt;=$D$14:$D$17)*(AO4&lt;=$E$14:$E$17))</f>
        <v>4</v>
      </c>
      <c r="AP12" s="95">
        <f t="array" ref="AP12">SUM($B$14:$B$17*(AP4&gt;=$D$14:$D$17)*(AP4&lt;=$E$14:$E$17))</f>
        <v>4</v>
      </c>
      <c r="AQ12" s="95">
        <f t="array" ref="AQ12">SUM($B$14:$B$17*(AQ4&gt;=$D$14:$D$17)*(AQ4&lt;=$E$14:$E$17))</f>
        <v>4</v>
      </c>
      <c r="AR12" s="95">
        <f t="array" ref="AR12">SUM($B$14:$B$17*(AR4&gt;=$D$14:$D$17)*(AR4&lt;=$E$14:$E$17))</f>
        <v>4</v>
      </c>
      <c r="AS12" s="95">
        <f t="array" ref="AS12">SUM($B$14:$B$17*(AS4&gt;=$D$14:$D$17)*(AS4&lt;=$E$14:$E$17))</f>
        <v>4</v>
      </c>
      <c r="AT12" s="95">
        <f t="array" ref="AT12">SUM($B$14:$B$17*(AT4&gt;=$D$14:$D$17)*(AT4&lt;=$E$14:$E$17))</f>
        <v>4</v>
      </c>
      <c r="AU12" s="95">
        <f t="array" ref="AU12">SUM($B$14:$B$17*(AU4&gt;=$D$14:$D$17)*(AU4&lt;=$E$14:$E$17))</f>
        <v>4</v>
      </c>
      <c r="AV12" s="95">
        <f t="array" ref="AV12">SUM($B$14:$B$17*(AV4&gt;=$D$14:$D$17)*(AV4&lt;=$E$14:$E$17))</f>
        <v>4</v>
      </c>
    </row>
    <row r="13" spans="1:48">
      <c r="A13" s="4" t="s">
        <v>17</v>
      </c>
      <c r="B13" s="299" t="s">
        <v>229</v>
      </c>
      <c r="C13" s="300"/>
      <c r="D13" s="102" t="s">
        <v>230</v>
      </c>
      <c r="E13" s="102" t="s">
        <v>231</v>
      </c>
      <c r="J13" s="95"/>
      <c r="K13" s="96"/>
    </row>
    <row r="14" spans="1:48">
      <c r="A14" s="4" t="s">
        <v>17</v>
      </c>
      <c r="B14" s="176">
        <v>1</v>
      </c>
      <c r="C14" s="102" t="s">
        <v>110</v>
      </c>
      <c r="D14" s="103">
        <v>2012</v>
      </c>
      <c r="E14" s="103">
        <f>D14+5</f>
        <v>2017</v>
      </c>
      <c r="J14" s="95"/>
      <c r="K14" s="96"/>
    </row>
    <row r="15" spans="1:48">
      <c r="A15" s="4" t="s">
        <v>17</v>
      </c>
      <c r="B15" s="176">
        <v>2</v>
      </c>
      <c r="C15" s="102" t="s">
        <v>232</v>
      </c>
      <c r="D15" s="103">
        <f>E14+1</f>
        <v>2018</v>
      </c>
      <c r="E15" s="103">
        <v>2030</v>
      </c>
      <c r="J15" s="95"/>
      <c r="K15" s="96"/>
    </row>
    <row r="16" spans="1:48">
      <c r="A16" s="4" t="s">
        <v>17</v>
      </c>
      <c r="B16" s="176">
        <v>3</v>
      </c>
      <c r="C16" s="102" t="s">
        <v>113</v>
      </c>
      <c r="D16" s="103">
        <v>2031</v>
      </c>
      <c r="E16" s="103">
        <v>2040</v>
      </c>
      <c r="J16" s="95"/>
      <c r="K16" s="96"/>
    </row>
    <row r="17" spans="1:48">
      <c r="A17" s="4" t="s">
        <v>17</v>
      </c>
      <c r="B17" s="176">
        <v>4</v>
      </c>
      <c r="C17" s="102" t="s">
        <v>233</v>
      </c>
      <c r="D17" s="103">
        <v>2041</v>
      </c>
      <c r="E17" s="103">
        <v>2070</v>
      </c>
      <c r="J17" s="95"/>
      <c r="K17" s="96"/>
    </row>
    <row r="18" spans="1:48">
      <c r="A18" s="4" t="s">
        <v>17</v>
      </c>
      <c r="B18" s="176"/>
      <c r="C18" s="102"/>
      <c r="J18" s="95"/>
      <c r="K18" s="96"/>
    </row>
    <row r="19" spans="1:48" ht="15" thickBot="1">
      <c r="A19" s="4" t="s">
        <v>17</v>
      </c>
      <c r="B19" s="93" t="s">
        <v>555</v>
      </c>
      <c r="C19" s="93" t="s">
        <v>234</v>
      </c>
      <c r="D19" s="93"/>
      <c r="E19" s="94"/>
      <c r="F19" s="94"/>
      <c r="G19" s="94"/>
      <c r="H19" s="94"/>
      <c r="I19" s="94"/>
      <c r="J19" s="95"/>
      <c r="K19" s="96"/>
    </row>
    <row r="20" spans="1:48">
      <c r="A20" s="4" t="s">
        <v>17</v>
      </c>
      <c r="B20" s="98">
        <f>'[7]SA GDP'!$I$30</f>
        <v>0.44318133021912642</v>
      </c>
      <c r="C20" s="104">
        <v>0.01</v>
      </c>
      <c r="J20" s="95"/>
      <c r="K20" s="96"/>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row>
    <row r="21" spans="1:48">
      <c r="A21" s="4" t="s">
        <v>17</v>
      </c>
      <c r="B21" s="176"/>
      <c r="J21" s="106"/>
      <c r="K21" s="107"/>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row>
    <row r="22" spans="1:48" ht="18.600000000000001" thickBot="1">
      <c r="A22" s="4" t="s">
        <v>17</v>
      </c>
      <c r="B22" s="203" t="s">
        <v>71</v>
      </c>
      <c r="C22" s="93"/>
      <c r="D22" s="93"/>
      <c r="E22" s="108">
        <v>2006</v>
      </c>
      <c r="F22" s="108">
        <v>2010</v>
      </c>
      <c r="G22" s="108">
        <v>2020</v>
      </c>
      <c r="H22" s="109">
        <v>2030</v>
      </c>
      <c r="I22" s="109">
        <v>2050</v>
      </c>
      <c r="J22" s="95">
        <f t="shared" ref="J22:AV22" si="7">J4</f>
        <v>2012</v>
      </c>
      <c r="K22" s="96">
        <f t="shared" si="7"/>
        <v>2013</v>
      </c>
      <c r="L22" s="96">
        <f t="shared" si="7"/>
        <v>2014</v>
      </c>
      <c r="M22" s="96">
        <f t="shared" si="7"/>
        <v>2015</v>
      </c>
      <c r="N22" s="96">
        <f t="shared" si="7"/>
        <v>2016</v>
      </c>
      <c r="O22" s="96">
        <f t="shared" si="7"/>
        <v>2017</v>
      </c>
      <c r="P22" s="96">
        <f t="shared" si="7"/>
        <v>2018</v>
      </c>
      <c r="Q22" s="96">
        <f t="shared" si="7"/>
        <v>2019</v>
      </c>
      <c r="R22" s="96">
        <f t="shared" si="7"/>
        <v>2020</v>
      </c>
      <c r="S22" s="96">
        <f t="shared" si="7"/>
        <v>2021</v>
      </c>
      <c r="T22" s="96">
        <f t="shared" si="7"/>
        <v>2022</v>
      </c>
      <c r="U22" s="96">
        <f t="shared" si="7"/>
        <v>2023</v>
      </c>
      <c r="V22" s="96">
        <f t="shared" si="7"/>
        <v>2024</v>
      </c>
      <c r="W22" s="96">
        <f t="shared" si="7"/>
        <v>2025</v>
      </c>
      <c r="X22" s="96">
        <f t="shared" si="7"/>
        <v>2026</v>
      </c>
      <c r="Y22" s="96">
        <f t="shared" si="7"/>
        <v>2027</v>
      </c>
      <c r="Z22" s="96">
        <f t="shared" si="7"/>
        <v>2028</v>
      </c>
      <c r="AA22" s="96">
        <f t="shared" si="7"/>
        <v>2029</v>
      </c>
      <c r="AB22" s="96">
        <f t="shared" si="7"/>
        <v>2030</v>
      </c>
      <c r="AC22" s="96">
        <f t="shared" si="7"/>
        <v>2031</v>
      </c>
      <c r="AD22" s="96">
        <f t="shared" si="7"/>
        <v>2032</v>
      </c>
      <c r="AE22" s="96">
        <f t="shared" si="7"/>
        <v>2033</v>
      </c>
      <c r="AF22" s="96">
        <f t="shared" si="7"/>
        <v>2034</v>
      </c>
      <c r="AG22" s="96">
        <f t="shared" si="7"/>
        <v>2035</v>
      </c>
      <c r="AH22" s="96">
        <f t="shared" si="7"/>
        <v>2036</v>
      </c>
      <c r="AI22" s="96">
        <f t="shared" si="7"/>
        <v>2037</v>
      </c>
      <c r="AJ22" s="96">
        <f t="shared" si="7"/>
        <v>2038</v>
      </c>
      <c r="AK22" s="96">
        <f t="shared" si="7"/>
        <v>2039</v>
      </c>
      <c r="AL22" s="96">
        <f t="shared" si="7"/>
        <v>2040</v>
      </c>
      <c r="AM22" s="96">
        <f t="shared" si="7"/>
        <v>2041</v>
      </c>
      <c r="AN22" s="96">
        <f t="shared" si="7"/>
        <v>2042</v>
      </c>
      <c r="AO22" s="96">
        <f t="shared" si="7"/>
        <v>2043</v>
      </c>
      <c r="AP22" s="96">
        <f t="shared" si="7"/>
        <v>2044</v>
      </c>
      <c r="AQ22" s="96">
        <f t="shared" si="7"/>
        <v>2045</v>
      </c>
      <c r="AR22" s="96">
        <f t="shared" si="7"/>
        <v>2046</v>
      </c>
      <c r="AS22" s="96">
        <f t="shared" si="7"/>
        <v>2047</v>
      </c>
      <c r="AT22" s="96">
        <f t="shared" si="7"/>
        <v>2048</v>
      </c>
      <c r="AU22" s="96">
        <f t="shared" si="7"/>
        <v>2049</v>
      </c>
      <c r="AV22" s="96">
        <f t="shared" si="7"/>
        <v>2050</v>
      </c>
    </row>
    <row r="23" spans="1:48">
      <c r="A23" s="4" t="s">
        <v>17</v>
      </c>
      <c r="B23" s="176" t="str">
        <f>B10</f>
        <v>COM</v>
      </c>
      <c r="C23" s="96" t="str">
        <f>C10</f>
        <v>Commercial</v>
      </c>
      <c r="D23" s="96" t="s">
        <v>72</v>
      </c>
      <c r="J23" s="264">
        <f>[7]Forecast!I$8</f>
        <v>132.81548999999998</v>
      </c>
      <c r="K23" s="264">
        <f>[7]Forecast!J$8</f>
        <v>134.00787499999998</v>
      </c>
      <c r="L23" s="264">
        <f>[7]Forecast!K$8</f>
        <v>135.598851</v>
      </c>
      <c r="M23" s="264">
        <f>[7]Forecast!L$8</f>
        <v>136.99421599999999</v>
      </c>
      <c r="N23" s="264">
        <f>[7]Forecast!M$8</f>
        <v>138.328236</v>
      </c>
      <c r="O23" s="265">
        <f>(1+$B$20*(M10/L10-1))*N23</f>
        <v>139.63024740553905</v>
      </c>
      <c r="P23" s="110">
        <f t="shared" ref="P23:AV23" si="8">(1+$B$20*(N10/M10-1))*O23</f>
        <v>140.39778495874171</v>
      </c>
      <c r="Q23" s="110">
        <f t="shared" si="8"/>
        <v>141.16008652540503</v>
      </c>
      <c r="R23" s="110">
        <f t="shared" si="8"/>
        <v>141.91725076374854</v>
      </c>
      <c r="S23" s="110">
        <f t="shared" si="8"/>
        <v>142.66937331547896</v>
      </c>
      <c r="T23" s="110">
        <f t="shared" si="8"/>
        <v>143.41654693257777</v>
      </c>
      <c r="U23" s="110">
        <f t="shared" si="8"/>
        <v>144.4282817016371</v>
      </c>
      <c r="V23" s="110">
        <f t="shared" si="8"/>
        <v>145.43118957885744</v>
      </c>
      <c r="W23" s="110">
        <f t="shared" si="8"/>
        <v>146.42548255707987</v>
      </c>
      <c r="X23" s="110">
        <f t="shared" si="8"/>
        <v>147.41136439444389</v>
      </c>
      <c r="Y23" s="110">
        <f t="shared" si="8"/>
        <v>148.38903105270396</v>
      </c>
      <c r="Z23" s="110">
        <f t="shared" si="8"/>
        <v>149.70585407733466</v>
      </c>
      <c r="AA23" s="110">
        <f t="shared" si="8"/>
        <v>151.00828331413561</v>
      </c>
      <c r="AB23" s="110">
        <f t="shared" si="8"/>
        <v>152.2967501869644</v>
      </c>
      <c r="AC23" s="110">
        <f t="shared" si="8"/>
        <v>153.57166528373099</v>
      </c>
      <c r="AD23" s="110">
        <f t="shared" si="8"/>
        <v>154.83341973030451</v>
      </c>
      <c r="AE23" s="110">
        <f t="shared" si="8"/>
        <v>156.26893393217946</v>
      </c>
      <c r="AF23" s="110">
        <f t="shared" si="8"/>
        <v>157.68806900110698</v>
      </c>
      <c r="AG23" s="110">
        <f t="shared" si="8"/>
        <v>159.09133695983547</v>
      </c>
      <c r="AH23" s="110">
        <f t="shared" si="8"/>
        <v>160.47922406105883</v>
      </c>
      <c r="AI23" s="110">
        <f t="shared" si="8"/>
        <v>161.85219255686266</v>
      </c>
      <c r="AJ23" s="110">
        <f t="shared" si="8"/>
        <v>163.39633647249821</v>
      </c>
      <c r="AK23" s="110">
        <f t="shared" si="8"/>
        <v>164.9223611741092</v>
      </c>
      <c r="AL23" s="110">
        <f t="shared" si="8"/>
        <v>166.43084884285923</v>
      </c>
      <c r="AM23" s="110">
        <f t="shared" si="8"/>
        <v>167.92235155988789</v>
      </c>
      <c r="AN23" s="110">
        <f t="shared" si="8"/>
        <v>169.39739342829881</v>
      </c>
      <c r="AO23" s="110">
        <f t="shared" si="8"/>
        <v>170.90790395464097</v>
      </c>
      <c r="AP23" s="110">
        <f t="shared" si="8"/>
        <v>172.40182542363726</v>
      </c>
      <c r="AQ23" s="110">
        <f t="shared" si="8"/>
        <v>173.8796573651687</v>
      </c>
      <c r="AR23" s="110">
        <f t="shared" si="8"/>
        <v>175.34187507410599</v>
      </c>
      <c r="AS23" s="110">
        <f t="shared" si="8"/>
        <v>176.78893121548757</v>
      </c>
      <c r="AT23" s="110">
        <f t="shared" si="8"/>
        <v>178.23380791327941</v>
      </c>
      <c r="AU23" s="110">
        <f t="shared" si="8"/>
        <v>179.66411651544189</v>
      </c>
      <c r="AV23" s="110">
        <f t="shared" si="8"/>
        <v>181.08026039364316</v>
      </c>
    </row>
    <row r="24" spans="1:48">
      <c r="A24" s="4" t="s">
        <v>17</v>
      </c>
      <c r="B24" s="176" t="str">
        <f>B23 &amp; "-" &amp; "indexed"</f>
        <v>COM-indexed</v>
      </c>
      <c r="C24" s="96" t="str">
        <f>C23 &amp;"-" &amp; "indexed"</f>
        <v>Commercial-indexed</v>
      </c>
      <c r="I24" s="181"/>
      <c r="J24" s="98">
        <f>K24*(1+((J23-K23)/K23))</f>
        <v>0.95119426104183269</v>
      </c>
      <c r="K24" s="98">
        <f>L24*(1+((K23-L23)/L23))</f>
        <v>0.95973385058031468</v>
      </c>
      <c r="L24" s="98">
        <f>M24*(1+((L23-M23)/M23))</f>
        <v>0.9711280579928333</v>
      </c>
      <c r="M24" s="98">
        <f>N24*(1+((M23-N23)/N23))</f>
        <v>0.98112134401736739</v>
      </c>
      <c r="N24" s="98">
        <f>O24*(1+((N23-O23)/O23))</f>
        <v>0.99067529113690167</v>
      </c>
      <c r="O24" s="98">
        <v>1</v>
      </c>
      <c r="P24" s="98">
        <f t="shared" ref="P24:AV24" si="9">O24*(1+((P23-O23)/O23))</f>
        <v>1.0054969289782423</v>
      </c>
      <c r="Q24" s="98">
        <f t="shared" si="9"/>
        <v>1.0109563590145532</v>
      </c>
      <c r="R24" s="98">
        <f t="shared" si="9"/>
        <v>1.0163789966766095</v>
      </c>
      <c r="S24" s="98">
        <f t="shared" si="9"/>
        <v>1.0217655269285111</v>
      </c>
      <c r="T24" s="98">
        <f t="shared" si="9"/>
        <v>1.0271166140388039</v>
      </c>
      <c r="U24" s="98">
        <f t="shared" si="9"/>
        <v>1.0343624278066539</v>
      </c>
      <c r="V24" s="98">
        <f t="shared" si="9"/>
        <v>1.0415450253874452</v>
      </c>
      <c r="W24" s="98">
        <f t="shared" si="9"/>
        <v>1.0486659250255776</v>
      </c>
      <c r="X24" s="98">
        <f t="shared" si="9"/>
        <v>1.0557265859903946</v>
      </c>
      <c r="Y24" s="98">
        <f t="shared" si="9"/>
        <v>1.0627284117153075</v>
      </c>
      <c r="Z24" s="98">
        <f t="shared" si="9"/>
        <v>1.0721591980176919</v>
      </c>
      <c r="AA24" s="98">
        <f t="shared" si="9"/>
        <v>1.0814868992930338</v>
      </c>
      <c r="AB24" s="98">
        <f t="shared" si="9"/>
        <v>1.0907146053006482</v>
      </c>
      <c r="AC24" s="98">
        <f t="shared" si="9"/>
        <v>1.0998452565775436</v>
      </c>
      <c r="AD24" s="98">
        <f t="shared" si="9"/>
        <v>1.1088816542780282</v>
      </c>
      <c r="AE24" s="98">
        <f t="shared" si="9"/>
        <v>1.1191624797334589</v>
      </c>
      <c r="AF24" s="98">
        <f t="shared" si="9"/>
        <v>1.1293260015727193</v>
      </c>
      <c r="AG24" s="98">
        <f t="shared" si="9"/>
        <v>1.139375886786006</v>
      </c>
      <c r="AH24" s="98">
        <f t="shared" si="9"/>
        <v>1.1493156178042603</v>
      </c>
      <c r="AI24" s="98">
        <f t="shared" si="9"/>
        <v>1.1591485051715384</v>
      </c>
      <c r="AJ24" s="98">
        <f t="shared" si="9"/>
        <v>1.1702073118722869</v>
      </c>
      <c r="AK24" s="98">
        <f t="shared" si="9"/>
        <v>1.1811363528928822</v>
      </c>
      <c r="AL24" s="98">
        <f t="shared" si="9"/>
        <v>1.1919397976820962</v>
      </c>
      <c r="AM24" s="98">
        <f t="shared" si="9"/>
        <v>1.2026216001191912</v>
      </c>
      <c r="AN24" s="98">
        <f t="shared" si="9"/>
        <v>1.213185513711114</v>
      </c>
      <c r="AO24" s="98">
        <f t="shared" si="9"/>
        <v>1.2240034457452462</v>
      </c>
      <c r="AP24" s="98">
        <f t="shared" si="9"/>
        <v>1.2347025707325234</v>
      </c>
      <c r="AQ24" s="98">
        <f t="shared" si="9"/>
        <v>1.2452864661920742</v>
      </c>
      <c r="AR24" s="98">
        <f t="shared" si="9"/>
        <v>1.2557585360774082</v>
      </c>
      <c r="AS24" s="98">
        <f t="shared" si="9"/>
        <v>1.2661220222723355</v>
      </c>
      <c r="AT24" s="98">
        <f t="shared" si="9"/>
        <v>1.2764698997891273</v>
      </c>
      <c r="AU24" s="98">
        <f t="shared" si="9"/>
        <v>1.2867134439261532</v>
      </c>
      <c r="AV24" s="98">
        <f t="shared" si="9"/>
        <v>1.2968555435393425</v>
      </c>
    </row>
    <row r="25" spans="1:48">
      <c r="A25" s="4" t="s">
        <v>17</v>
      </c>
      <c r="B25" s="176" t="str">
        <f>B10 &amp; "-" &amp; "EXISTING"</f>
        <v>COM-EXISTING</v>
      </c>
      <c r="C25" s="96" t="str">
        <f>C10 &amp; "-" &amp; "existing"</f>
        <v>Commercial-existing</v>
      </c>
      <c r="D25" s="96" t="s">
        <v>54</v>
      </c>
      <c r="E25" s="111">
        <v>1</v>
      </c>
      <c r="I25" s="181"/>
      <c r="J25" s="263">
        <f>E25</f>
        <v>1</v>
      </c>
      <c r="K25" s="263">
        <v>1</v>
      </c>
      <c r="L25" s="263">
        <v>1</v>
      </c>
      <c r="M25" s="263">
        <v>1</v>
      </c>
      <c r="N25" s="263">
        <v>1</v>
      </c>
      <c r="O25" s="263">
        <f>E25</f>
        <v>1</v>
      </c>
      <c r="P25" s="98">
        <f t="shared" ref="P25:AV25" si="10">IF(O25-$C$20*(P22-O22)&lt;0,0,O25-$C$20*(P22-O22))</f>
        <v>0.99</v>
      </c>
      <c r="Q25" s="98">
        <f t="shared" si="10"/>
        <v>0.98</v>
      </c>
      <c r="R25" s="98">
        <f t="shared" si="10"/>
        <v>0.97</v>
      </c>
      <c r="S25" s="98">
        <f t="shared" si="10"/>
        <v>0.96</v>
      </c>
      <c r="T25" s="98">
        <f t="shared" si="10"/>
        <v>0.95</v>
      </c>
      <c r="U25" s="98">
        <f t="shared" si="10"/>
        <v>0.94</v>
      </c>
      <c r="V25" s="98">
        <f t="shared" si="10"/>
        <v>0.92999999999999994</v>
      </c>
      <c r="W25" s="98">
        <f t="shared" si="10"/>
        <v>0.91999999999999993</v>
      </c>
      <c r="X25" s="98">
        <f t="shared" si="10"/>
        <v>0.90999999999999992</v>
      </c>
      <c r="Y25" s="98">
        <f t="shared" si="10"/>
        <v>0.89999999999999991</v>
      </c>
      <c r="Z25" s="98">
        <f t="shared" si="10"/>
        <v>0.8899999999999999</v>
      </c>
      <c r="AA25" s="98">
        <f t="shared" si="10"/>
        <v>0.87999999999999989</v>
      </c>
      <c r="AB25" s="98">
        <f t="shared" si="10"/>
        <v>0.86999999999999988</v>
      </c>
      <c r="AC25" s="98">
        <f t="shared" si="10"/>
        <v>0.85999999999999988</v>
      </c>
      <c r="AD25" s="98">
        <f t="shared" si="10"/>
        <v>0.84999999999999987</v>
      </c>
      <c r="AE25" s="98">
        <f t="shared" si="10"/>
        <v>0.83999999999999986</v>
      </c>
      <c r="AF25" s="98">
        <f t="shared" si="10"/>
        <v>0.82999999999999985</v>
      </c>
      <c r="AG25" s="98">
        <f t="shared" si="10"/>
        <v>0.81999999999999984</v>
      </c>
      <c r="AH25" s="98">
        <f t="shared" si="10"/>
        <v>0.80999999999999983</v>
      </c>
      <c r="AI25" s="98">
        <f t="shared" si="10"/>
        <v>0.79999999999999982</v>
      </c>
      <c r="AJ25" s="98">
        <f t="shared" si="10"/>
        <v>0.78999999999999981</v>
      </c>
      <c r="AK25" s="98">
        <f t="shared" si="10"/>
        <v>0.7799999999999998</v>
      </c>
      <c r="AL25" s="98">
        <f t="shared" si="10"/>
        <v>0.7699999999999998</v>
      </c>
      <c r="AM25" s="98">
        <f t="shared" si="10"/>
        <v>0.75999999999999979</v>
      </c>
      <c r="AN25" s="98">
        <f t="shared" si="10"/>
        <v>0.74999999999999978</v>
      </c>
      <c r="AO25" s="98">
        <f t="shared" si="10"/>
        <v>0.73999999999999977</v>
      </c>
      <c r="AP25" s="98">
        <f t="shared" si="10"/>
        <v>0.72999999999999976</v>
      </c>
      <c r="AQ25" s="98">
        <f t="shared" si="10"/>
        <v>0.71999999999999975</v>
      </c>
      <c r="AR25" s="98">
        <f t="shared" si="10"/>
        <v>0.70999999999999974</v>
      </c>
      <c r="AS25" s="98">
        <f t="shared" si="10"/>
        <v>0.69999999999999973</v>
      </c>
      <c r="AT25" s="98">
        <f t="shared" si="10"/>
        <v>0.68999999999999972</v>
      </c>
      <c r="AU25" s="98">
        <f t="shared" si="10"/>
        <v>0.67999999999999972</v>
      </c>
      <c r="AV25" s="98">
        <f t="shared" si="10"/>
        <v>0.66999999999999971</v>
      </c>
    </row>
    <row r="26" spans="1:48">
      <c r="A26" s="4" t="s">
        <v>17</v>
      </c>
      <c r="B26" s="176"/>
      <c r="I26" s="181"/>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row>
    <row r="27" spans="1:48">
      <c r="A27" s="4" t="s">
        <v>17</v>
      </c>
      <c r="B27" s="204" t="s">
        <v>521</v>
      </c>
      <c r="C27" s="205">
        <v>0.2</v>
      </c>
      <c r="I27" s="181"/>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row>
    <row r="28" spans="1:48">
      <c r="A28" s="4" t="s">
        <v>17</v>
      </c>
      <c r="B28" s="176"/>
      <c r="I28" s="181"/>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row>
    <row r="29" spans="1:48">
      <c r="A29" s="4" t="s">
        <v>17</v>
      </c>
      <c r="B29" s="209" t="s">
        <v>525</v>
      </c>
      <c r="C29" s="199"/>
      <c r="D29" s="199"/>
      <c r="I29" s="181"/>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row>
    <row r="30" spans="1:48">
      <c r="A30" s="4" t="s">
        <v>17</v>
      </c>
      <c r="B30" s="176" t="s">
        <v>522</v>
      </c>
      <c r="D30" s="96" t="s">
        <v>72</v>
      </c>
      <c r="I30" s="181"/>
      <c r="J30" s="263">
        <f>J23</f>
        <v>132.81548999999998</v>
      </c>
      <c r="K30" s="263">
        <f t="shared" ref="K30:O30" si="11">K23</f>
        <v>134.00787499999998</v>
      </c>
      <c r="L30" s="263">
        <f t="shared" si="11"/>
        <v>135.598851</v>
      </c>
      <c r="M30" s="263">
        <f t="shared" si="11"/>
        <v>136.99421599999999</v>
      </c>
      <c r="N30" s="263">
        <f t="shared" si="11"/>
        <v>138.328236</v>
      </c>
      <c r="O30" s="263">
        <f t="shared" si="11"/>
        <v>139.63024740553905</v>
      </c>
      <c r="P30" s="98">
        <f>P25*$O$23</f>
        <v>138.23394493148365</v>
      </c>
      <c r="Q30" s="98">
        <f t="shared" ref="Q30:AV30" si="12">Q25*$O$23</f>
        <v>136.83764245742827</v>
      </c>
      <c r="R30" s="98">
        <f t="shared" si="12"/>
        <v>135.44133998337287</v>
      </c>
      <c r="S30" s="98">
        <f t="shared" si="12"/>
        <v>134.0450375093175</v>
      </c>
      <c r="T30" s="98">
        <f t="shared" si="12"/>
        <v>132.64873503526209</v>
      </c>
      <c r="U30" s="98">
        <f t="shared" si="12"/>
        <v>131.25243256120669</v>
      </c>
      <c r="V30" s="98">
        <f t="shared" si="12"/>
        <v>129.85613008715131</v>
      </c>
      <c r="W30" s="98">
        <f t="shared" si="12"/>
        <v>128.45982761309591</v>
      </c>
      <c r="X30" s="98">
        <f t="shared" si="12"/>
        <v>127.06352513904052</v>
      </c>
      <c r="Y30" s="98">
        <f t="shared" si="12"/>
        <v>125.66722266498513</v>
      </c>
      <c r="Z30" s="98">
        <f t="shared" si="12"/>
        <v>124.27092019092974</v>
      </c>
      <c r="AA30" s="98">
        <f t="shared" si="12"/>
        <v>122.87461771687435</v>
      </c>
      <c r="AB30" s="98">
        <f t="shared" si="12"/>
        <v>121.47831524281897</v>
      </c>
      <c r="AC30" s="98">
        <f t="shared" si="12"/>
        <v>120.08201276876356</v>
      </c>
      <c r="AD30" s="98">
        <f t="shared" si="12"/>
        <v>118.68571029470817</v>
      </c>
      <c r="AE30" s="98">
        <f t="shared" si="12"/>
        <v>117.28940782065278</v>
      </c>
      <c r="AF30" s="98">
        <f t="shared" si="12"/>
        <v>115.89310534659739</v>
      </c>
      <c r="AG30" s="98">
        <f t="shared" si="12"/>
        <v>114.49680287254201</v>
      </c>
      <c r="AH30" s="98">
        <f t="shared" si="12"/>
        <v>113.1005003984866</v>
      </c>
      <c r="AI30" s="98">
        <f t="shared" si="12"/>
        <v>111.70419792443121</v>
      </c>
      <c r="AJ30" s="98">
        <f t="shared" si="12"/>
        <v>110.30789545037582</v>
      </c>
      <c r="AK30" s="98">
        <f t="shared" si="12"/>
        <v>108.91159297632043</v>
      </c>
      <c r="AL30" s="98">
        <f t="shared" si="12"/>
        <v>107.51529050226505</v>
      </c>
      <c r="AM30" s="98">
        <f t="shared" si="12"/>
        <v>106.11898802820966</v>
      </c>
      <c r="AN30" s="98">
        <f t="shared" si="12"/>
        <v>104.72268555415425</v>
      </c>
      <c r="AO30" s="98">
        <f t="shared" si="12"/>
        <v>103.32638308009886</v>
      </c>
      <c r="AP30" s="98">
        <f t="shared" si="12"/>
        <v>101.93008060604348</v>
      </c>
      <c r="AQ30" s="98">
        <f t="shared" si="12"/>
        <v>100.53377813198809</v>
      </c>
      <c r="AR30" s="98">
        <f t="shared" si="12"/>
        <v>99.137475657932697</v>
      </c>
      <c r="AS30" s="98">
        <f t="shared" si="12"/>
        <v>97.741173183877294</v>
      </c>
      <c r="AT30" s="98">
        <f t="shared" si="12"/>
        <v>96.344870709821905</v>
      </c>
      <c r="AU30" s="98">
        <f t="shared" si="12"/>
        <v>94.948568235766515</v>
      </c>
      <c r="AV30" s="98">
        <f t="shared" si="12"/>
        <v>93.552265761711126</v>
      </c>
    </row>
    <row r="31" spans="1:48">
      <c r="A31" s="4" t="s">
        <v>17</v>
      </c>
      <c r="B31" s="176" t="s">
        <v>523</v>
      </c>
      <c r="D31" s="96" t="s">
        <v>72</v>
      </c>
      <c r="I31" s="181"/>
      <c r="J31" s="98">
        <f>J23-J30</f>
        <v>0</v>
      </c>
      <c r="K31" s="98">
        <f t="shared" ref="K31:AV31" si="13">K23-K30</f>
        <v>0</v>
      </c>
      <c r="L31" s="98">
        <f t="shared" si="13"/>
        <v>0</v>
      </c>
      <c r="M31" s="98">
        <f t="shared" si="13"/>
        <v>0</v>
      </c>
      <c r="N31" s="98">
        <f t="shared" si="13"/>
        <v>0</v>
      </c>
      <c r="O31" s="98">
        <f t="shared" si="13"/>
        <v>0</v>
      </c>
      <c r="P31" s="98">
        <f t="shared" si="13"/>
        <v>2.1638400272580611</v>
      </c>
      <c r="Q31" s="98">
        <f t="shared" si="13"/>
        <v>4.3224440679767611</v>
      </c>
      <c r="R31" s="98">
        <f t="shared" si="13"/>
        <v>6.4759107803756706</v>
      </c>
      <c r="S31" s="98">
        <f t="shared" si="13"/>
        <v>8.6243358061614686</v>
      </c>
      <c r="T31" s="98">
        <f t="shared" si="13"/>
        <v>10.767811897315681</v>
      </c>
      <c r="U31" s="98">
        <f t="shared" si="13"/>
        <v>13.175849140430415</v>
      </c>
      <c r="V31" s="98">
        <f t="shared" si="13"/>
        <v>15.575059491706128</v>
      </c>
      <c r="W31" s="98">
        <f t="shared" si="13"/>
        <v>17.965654943983964</v>
      </c>
      <c r="X31" s="98">
        <f t="shared" si="13"/>
        <v>20.347839255403372</v>
      </c>
      <c r="Y31" s="98">
        <f t="shared" si="13"/>
        <v>22.721808387718823</v>
      </c>
      <c r="Z31" s="98">
        <f t="shared" si="13"/>
        <v>25.43493388640492</v>
      </c>
      <c r="AA31" s="98">
        <f t="shared" si="13"/>
        <v>28.133665597261256</v>
      </c>
      <c r="AB31" s="98">
        <f t="shared" si="13"/>
        <v>30.818434944145437</v>
      </c>
      <c r="AC31" s="98">
        <f t="shared" si="13"/>
        <v>33.489652514967432</v>
      </c>
      <c r="AD31" s="98">
        <f t="shared" si="13"/>
        <v>36.14770943559634</v>
      </c>
      <c r="AE31" s="98">
        <f t="shared" si="13"/>
        <v>38.979526111526681</v>
      </c>
      <c r="AF31" s="98">
        <f t="shared" si="13"/>
        <v>41.794963654509587</v>
      </c>
      <c r="AG31" s="98">
        <f t="shared" si="13"/>
        <v>44.594534087293468</v>
      </c>
      <c r="AH31" s="98">
        <f t="shared" si="13"/>
        <v>47.378723662572227</v>
      </c>
      <c r="AI31" s="98">
        <f t="shared" si="13"/>
        <v>50.147994632431448</v>
      </c>
      <c r="AJ31" s="98">
        <f t="shared" si="13"/>
        <v>53.088441022122382</v>
      </c>
      <c r="AK31" s="98">
        <f t="shared" si="13"/>
        <v>56.010768197788764</v>
      </c>
      <c r="AL31" s="98">
        <f t="shared" si="13"/>
        <v>58.915558340594188</v>
      </c>
      <c r="AM31" s="98">
        <f t="shared" si="13"/>
        <v>61.803363531678229</v>
      </c>
      <c r="AN31" s="98">
        <f t="shared" si="13"/>
        <v>64.674707874144559</v>
      </c>
      <c r="AO31" s="98">
        <f t="shared" si="13"/>
        <v>67.581520874542107</v>
      </c>
      <c r="AP31" s="98">
        <f t="shared" si="13"/>
        <v>70.471744817593788</v>
      </c>
      <c r="AQ31" s="98">
        <f t="shared" si="13"/>
        <v>73.345879233180611</v>
      </c>
      <c r="AR31" s="98">
        <f t="shared" si="13"/>
        <v>76.204399416173288</v>
      </c>
      <c r="AS31" s="98">
        <f t="shared" si="13"/>
        <v>79.047758031610272</v>
      </c>
      <c r="AT31" s="98">
        <f t="shared" si="13"/>
        <v>81.888937203457502</v>
      </c>
      <c r="AU31" s="98">
        <f t="shared" si="13"/>
        <v>84.715548279675374</v>
      </c>
      <c r="AV31" s="98">
        <f t="shared" si="13"/>
        <v>87.527994631932032</v>
      </c>
    </row>
    <row r="32" spans="1:48">
      <c r="A32" s="4" t="s">
        <v>17</v>
      </c>
      <c r="B32" s="177"/>
      <c r="I32" s="181"/>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row>
    <row r="33" spans="1:48">
      <c r="A33" s="4" t="s">
        <v>17</v>
      </c>
      <c r="B33" s="209" t="s">
        <v>530</v>
      </c>
      <c r="C33" s="199"/>
      <c r="D33" s="199"/>
      <c r="I33" s="181"/>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row>
    <row r="34" spans="1:48">
      <c r="A34" s="4" t="s">
        <v>17</v>
      </c>
      <c r="B34" s="176" t="s">
        <v>524</v>
      </c>
      <c r="D34" s="96" t="s">
        <v>72</v>
      </c>
      <c r="I34" s="181"/>
      <c r="J34" s="98">
        <f>SUM(J30:J31)*$C$27</f>
        <v>26.563097999999997</v>
      </c>
      <c r="K34" s="98">
        <f t="shared" ref="K34:AV34" si="14">SUM(K30:K31)*$C$27</f>
        <v>26.801575</v>
      </c>
      <c r="L34" s="98">
        <f t="shared" si="14"/>
        <v>27.119770200000001</v>
      </c>
      <c r="M34" s="98">
        <f t="shared" si="14"/>
        <v>27.398843200000002</v>
      </c>
      <c r="N34" s="98">
        <f t="shared" si="14"/>
        <v>27.665647200000002</v>
      </c>
      <c r="O34" s="98">
        <f t="shared" si="14"/>
        <v>27.92604948110781</v>
      </c>
      <c r="P34" s="266">
        <f t="shared" si="14"/>
        <v>28.079556991748344</v>
      </c>
      <c r="Q34" s="98">
        <f t="shared" si="14"/>
        <v>28.232017305081008</v>
      </c>
      <c r="R34" s="98">
        <f t="shared" si="14"/>
        <v>28.38345015274971</v>
      </c>
      <c r="S34" s="98">
        <f t="shared" si="14"/>
        <v>28.533874663095794</v>
      </c>
      <c r="T34" s="98">
        <f t="shared" si="14"/>
        <v>28.683309386515557</v>
      </c>
      <c r="U34" s="98">
        <f t="shared" si="14"/>
        <v>28.885656340327422</v>
      </c>
      <c r="V34" s="98">
        <f t="shared" si="14"/>
        <v>29.086237915771491</v>
      </c>
      <c r="W34" s="98">
        <f t="shared" si="14"/>
        <v>29.285096511415976</v>
      </c>
      <c r="X34" s="98">
        <f t="shared" si="14"/>
        <v>29.482272878888779</v>
      </c>
      <c r="Y34" s="98">
        <f t="shared" si="14"/>
        <v>29.677806210540794</v>
      </c>
      <c r="Z34" s="98">
        <f t="shared" si="14"/>
        <v>29.941170815466933</v>
      </c>
      <c r="AA34" s="98">
        <f t="shared" si="14"/>
        <v>30.201656662827123</v>
      </c>
      <c r="AB34" s="98">
        <f t="shared" si="14"/>
        <v>30.45935003739288</v>
      </c>
      <c r="AC34" s="98">
        <f t="shared" si="14"/>
        <v>30.714333056746199</v>
      </c>
      <c r="AD34" s="98">
        <f t="shared" si="14"/>
        <v>30.966683946060904</v>
      </c>
      <c r="AE34" s="98">
        <f t="shared" si="14"/>
        <v>31.253786786435896</v>
      </c>
      <c r="AF34" s="98">
        <f t="shared" si="14"/>
        <v>31.537613800221397</v>
      </c>
      <c r="AG34" s="98">
        <f t="shared" si="14"/>
        <v>31.818267391967098</v>
      </c>
      <c r="AH34" s="98">
        <f t="shared" si="14"/>
        <v>32.095844812211766</v>
      </c>
      <c r="AI34" s="98">
        <f t="shared" si="14"/>
        <v>32.370438511372534</v>
      </c>
      <c r="AJ34" s="98">
        <f t="shared" si="14"/>
        <v>32.679267294499645</v>
      </c>
      <c r="AK34" s="98">
        <f t="shared" si="14"/>
        <v>32.984472234821844</v>
      </c>
      <c r="AL34" s="98">
        <f t="shared" si="14"/>
        <v>33.286169768571845</v>
      </c>
      <c r="AM34" s="98">
        <f t="shared" si="14"/>
        <v>33.584470311977576</v>
      </c>
      <c r="AN34" s="98">
        <f t="shared" si="14"/>
        <v>33.879478685659763</v>
      </c>
      <c r="AO34" s="98">
        <f t="shared" si="14"/>
        <v>34.181580790928194</v>
      </c>
      <c r="AP34" s="98">
        <f t="shared" si="14"/>
        <v>34.480365084727453</v>
      </c>
      <c r="AQ34" s="98">
        <f t="shared" si="14"/>
        <v>34.775931473033744</v>
      </c>
      <c r="AR34" s="98">
        <f t="shared" si="14"/>
        <v>35.0683750148212</v>
      </c>
      <c r="AS34" s="98">
        <f t="shared" si="14"/>
        <v>35.357786243097515</v>
      </c>
      <c r="AT34" s="98">
        <f t="shared" si="14"/>
        <v>35.646761582655884</v>
      </c>
      <c r="AU34" s="98">
        <f t="shared" si="14"/>
        <v>35.932823303088377</v>
      </c>
      <c r="AV34" s="98">
        <f t="shared" si="14"/>
        <v>36.21605207872863</v>
      </c>
    </row>
    <row r="35" spans="1:48">
      <c r="A35" s="4" t="s">
        <v>17</v>
      </c>
      <c r="B35" s="176" t="s">
        <v>526</v>
      </c>
      <c r="C35" s="176"/>
      <c r="D35" s="96" t="s">
        <v>72</v>
      </c>
      <c r="E35" s="98"/>
      <c r="F35" s="98"/>
      <c r="G35" s="98"/>
      <c r="H35" s="98"/>
      <c r="I35" s="181"/>
      <c r="J35" s="98">
        <f>J30-J34*(J30/SUM(J30:J31))</f>
        <v>106.25239199999999</v>
      </c>
      <c r="K35" s="98">
        <f t="shared" ref="K35:AV35" si="15">K30-K34*(K30/SUM(K30:K31))</f>
        <v>107.20629999999998</v>
      </c>
      <c r="L35" s="98">
        <f t="shared" si="15"/>
        <v>108.47908079999999</v>
      </c>
      <c r="M35" s="98">
        <f t="shared" si="15"/>
        <v>109.59537279999999</v>
      </c>
      <c r="N35" s="98">
        <f t="shared" si="15"/>
        <v>110.66258880000001</v>
      </c>
      <c r="O35" s="98">
        <f t="shared" si="15"/>
        <v>111.70419792443124</v>
      </c>
      <c r="P35" s="266">
        <f t="shared" si="15"/>
        <v>110.58715594518692</v>
      </c>
      <c r="Q35" s="98">
        <f t="shared" si="15"/>
        <v>109.47011396594262</v>
      </c>
      <c r="R35" s="98">
        <f t="shared" si="15"/>
        <v>108.3530719866983</v>
      </c>
      <c r="S35" s="98">
        <f t="shared" si="15"/>
        <v>107.23603000745399</v>
      </c>
      <c r="T35" s="98">
        <f t="shared" si="15"/>
        <v>106.11898802820967</v>
      </c>
      <c r="U35" s="98">
        <f t="shared" si="15"/>
        <v>105.00194604896535</v>
      </c>
      <c r="V35" s="98">
        <f t="shared" si="15"/>
        <v>103.88490406972105</v>
      </c>
      <c r="W35" s="98">
        <f t="shared" si="15"/>
        <v>102.76786209047673</v>
      </c>
      <c r="X35" s="98">
        <f t="shared" si="15"/>
        <v>101.65082011123242</v>
      </c>
      <c r="Y35" s="98">
        <f t="shared" si="15"/>
        <v>100.5337781319881</v>
      </c>
      <c r="Z35" s="98">
        <f t="shared" si="15"/>
        <v>99.416736152743795</v>
      </c>
      <c r="AA35" s="98">
        <f t="shared" si="15"/>
        <v>98.299694173499489</v>
      </c>
      <c r="AB35" s="98">
        <f t="shared" si="15"/>
        <v>97.182652194255169</v>
      </c>
      <c r="AC35" s="98">
        <f t="shared" si="15"/>
        <v>96.06561021501085</v>
      </c>
      <c r="AD35" s="98">
        <f t="shared" si="15"/>
        <v>94.948568235766544</v>
      </c>
      <c r="AE35" s="98">
        <f t="shared" si="15"/>
        <v>93.831526256522224</v>
      </c>
      <c r="AF35" s="98">
        <f t="shared" si="15"/>
        <v>92.714484277277919</v>
      </c>
      <c r="AG35" s="98">
        <f t="shared" si="15"/>
        <v>91.597442298033599</v>
      </c>
      <c r="AH35" s="98">
        <f t="shared" si="15"/>
        <v>90.480400318789279</v>
      </c>
      <c r="AI35" s="98">
        <f t="shared" si="15"/>
        <v>89.363358339544973</v>
      </c>
      <c r="AJ35" s="98">
        <f t="shared" si="15"/>
        <v>88.246316360300654</v>
      </c>
      <c r="AK35" s="98">
        <f t="shared" si="15"/>
        <v>87.129274381056348</v>
      </c>
      <c r="AL35" s="98">
        <f t="shared" si="15"/>
        <v>86.012232401812042</v>
      </c>
      <c r="AM35" s="98">
        <f t="shared" si="15"/>
        <v>84.895190422567723</v>
      </c>
      <c r="AN35" s="98">
        <f t="shared" si="15"/>
        <v>83.778148443323403</v>
      </c>
      <c r="AO35" s="98">
        <f t="shared" si="15"/>
        <v>82.661106464079097</v>
      </c>
      <c r="AP35" s="98">
        <f t="shared" si="15"/>
        <v>81.544064484834777</v>
      </c>
      <c r="AQ35" s="98">
        <f t="shared" si="15"/>
        <v>80.427022505590458</v>
      </c>
      <c r="AR35" s="98">
        <f t="shared" si="15"/>
        <v>79.309980526346152</v>
      </c>
      <c r="AS35" s="98">
        <f t="shared" si="15"/>
        <v>78.192938547101832</v>
      </c>
      <c r="AT35" s="98">
        <f t="shared" si="15"/>
        <v>77.075896567857512</v>
      </c>
      <c r="AU35" s="98">
        <f t="shared" si="15"/>
        <v>75.958854588613207</v>
      </c>
      <c r="AV35" s="98">
        <f t="shared" si="15"/>
        <v>74.841812609368901</v>
      </c>
    </row>
    <row r="36" spans="1:48">
      <c r="A36" s="4" t="s">
        <v>17</v>
      </c>
      <c r="B36" s="176" t="s">
        <v>527</v>
      </c>
      <c r="C36" s="176"/>
      <c r="D36" s="96" t="s">
        <v>72</v>
      </c>
      <c r="E36" s="98"/>
      <c r="F36" s="98"/>
      <c r="G36" s="98"/>
      <c r="H36" s="98"/>
      <c r="I36" s="181"/>
      <c r="J36" s="98">
        <f>J23-J35-J34</f>
        <v>0</v>
      </c>
      <c r="K36" s="98">
        <f t="shared" ref="K36:AV36" si="16">K23-K35-K34</f>
        <v>0</v>
      </c>
      <c r="L36" s="98">
        <f t="shared" si="16"/>
        <v>0</v>
      </c>
      <c r="M36" s="98">
        <f t="shared" si="16"/>
        <v>0</v>
      </c>
      <c r="N36" s="98">
        <f t="shared" si="16"/>
        <v>0</v>
      </c>
      <c r="O36" s="98">
        <f t="shared" si="16"/>
        <v>0</v>
      </c>
      <c r="P36" s="266">
        <f t="shared" si="16"/>
        <v>1.7310720218064439</v>
      </c>
      <c r="Q36" s="98">
        <f t="shared" si="16"/>
        <v>3.4579552543814103</v>
      </c>
      <c r="R36" s="98">
        <f t="shared" si="16"/>
        <v>5.180728624300535</v>
      </c>
      <c r="S36" s="98">
        <f t="shared" si="16"/>
        <v>6.8994686449291791</v>
      </c>
      <c r="T36" s="98">
        <f t="shared" si="16"/>
        <v>8.6142495178525458</v>
      </c>
      <c r="U36" s="98">
        <f t="shared" si="16"/>
        <v>10.540679312344331</v>
      </c>
      <c r="V36" s="98">
        <f t="shared" si="16"/>
        <v>12.460047593364905</v>
      </c>
      <c r="W36" s="98">
        <f t="shared" si="16"/>
        <v>14.372523955187173</v>
      </c>
      <c r="X36" s="98">
        <f t="shared" si="16"/>
        <v>16.278271404322695</v>
      </c>
      <c r="Y36" s="98">
        <f t="shared" si="16"/>
        <v>18.177446710175062</v>
      </c>
      <c r="Z36" s="98">
        <f t="shared" si="16"/>
        <v>20.347947109123936</v>
      </c>
      <c r="AA36" s="98">
        <f t="shared" si="16"/>
        <v>22.506932477808999</v>
      </c>
      <c r="AB36" s="98">
        <f t="shared" si="16"/>
        <v>24.654747955316353</v>
      </c>
      <c r="AC36" s="98">
        <f t="shared" si="16"/>
        <v>26.791722011973945</v>
      </c>
      <c r="AD36" s="98">
        <f t="shared" si="16"/>
        <v>28.918167548477065</v>
      </c>
      <c r="AE36" s="98">
        <f t="shared" si="16"/>
        <v>31.183620889221345</v>
      </c>
      <c r="AF36" s="98">
        <f t="shared" si="16"/>
        <v>33.43597092360767</v>
      </c>
      <c r="AG36" s="98">
        <f t="shared" si="16"/>
        <v>35.675627269834777</v>
      </c>
      <c r="AH36" s="98">
        <f t="shared" si="16"/>
        <v>37.902978930057785</v>
      </c>
      <c r="AI36" s="98">
        <f t="shared" si="16"/>
        <v>40.118395705945154</v>
      </c>
      <c r="AJ36" s="98">
        <f t="shared" si="16"/>
        <v>42.470752817697907</v>
      </c>
      <c r="AK36" s="98">
        <f t="shared" si="16"/>
        <v>44.808614558231007</v>
      </c>
      <c r="AL36" s="98">
        <f t="shared" si="16"/>
        <v>47.132446672475346</v>
      </c>
      <c r="AM36" s="98">
        <f t="shared" si="16"/>
        <v>49.442690825342588</v>
      </c>
      <c r="AN36" s="98">
        <f t="shared" si="16"/>
        <v>51.739766299315647</v>
      </c>
      <c r="AO36" s="98">
        <f t="shared" si="16"/>
        <v>54.06521669963368</v>
      </c>
      <c r="AP36" s="98">
        <f t="shared" si="16"/>
        <v>56.377395854075033</v>
      </c>
      <c r="AQ36" s="98">
        <f t="shared" si="16"/>
        <v>58.676703386544496</v>
      </c>
      <c r="AR36" s="98">
        <f t="shared" si="16"/>
        <v>60.963519532938633</v>
      </c>
      <c r="AS36" s="98">
        <f t="shared" si="16"/>
        <v>63.238206425288219</v>
      </c>
      <c r="AT36" s="98">
        <f t="shared" si="16"/>
        <v>65.51114976276601</v>
      </c>
      <c r="AU36" s="98">
        <f t="shared" si="16"/>
        <v>67.7724386237403</v>
      </c>
      <c r="AV36" s="98">
        <f t="shared" si="16"/>
        <v>70.02239570554562</v>
      </c>
    </row>
    <row r="37" spans="1:48">
      <c r="A37" s="4" t="s">
        <v>17</v>
      </c>
      <c r="B37" s="176"/>
      <c r="C37" s="176"/>
      <c r="E37" s="98"/>
      <c r="F37" s="98"/>
      <c r="G37" s="98"/>
      <c r="H37" s="98"/>
      <c r="I37" s="181"/>
      <c r="J37" s="98"/>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row>
    <row r="38" spans="1:48">
      <c r="A38" s="4" t="s">
        <v>17</v>
      </c>
      <c r="E38" s="98"/>
      <c r="F38" s="98"/>
      <c r="G38" s="98"/>
      <c r="H38" s="98"/>
      <c r="I38" s="181"/>
      <c r="J38" s="98"/>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row>
    <row r="39" spans="1:48" ht="15.6">
      <c r="A39" s="4" t="s">
        <v>17</v>
      </c>
      <c r="B39" s="201" t="s">
        <v>528</v>
      </c>
      <c r="C39" s="176"/>
      <c r="E39" s="98"/>
      <c r="F39" s="98"/>
      <c r="G39" s="98"/>
      <c r="H39" s="98"/>
      <c r="I39" s="181"/>
      <c r="J39" s="115"/>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row>
    <row r="40" spans="1:48">
      <c r="A40" s="4" t="s">
        <v>17</v>
      </c>
      <c r="B40" s="200" t="s">
        <v>534</v>
      </c>
      <c r="C40" s="176"/>
      <c r="E40" s="98"/>
      <c r="F40" s="98"/>
      <c r="G40" s="98"/>
      <c r="H40" s="98"/>
      <c r="I40" s="98"/>
      <c r="J40" s="97"/>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row>
    <row r="41" spans="1:48">
      <c r="A41" s="4" t="s">
        <v>17</v>
      </c>
      <c r="B41" s="99" t="s">
        <v>235</v>
      </c>
      <c r="C41" s="99"/>
      <c r="D41" s="112" t="s">
        <v>236</v>
      </c>
      <c r="E41" s="113"/>
      <c r="F41" s="113"/>
      <c r="G41" s="113"/>
      <c r="H41" s="113"/>
      <c r="I41" s="113"/>
      <c r="J41" s="114">
        <v>0</v>
      </c>
      <c r="K41" s="113">
        <f t="shared" ref="K41:AV41" si="17">K36-J36</f>
        <v>0</v>
      </c>
      <c r="L41" s="113">
        <f t="shared" si="17"/>
        <v>0</v>
      </c>
      <c r="M41" s="113">
        <f t="shared" si="17"/>
        <v>0</v>
      </c>
      <c r="N41" s="113">
        <f t="shared" si="17"/>
        <v>0</v>
      </c>
      <c r="O41" s="113">
        <f t="shared" si="17"/>
        <v>0</v>
      </c>
      <c r="P41" s="113">
        <f t="shared" si="17"/>
        <v>1.7310720218064439</v>
      </c>
      <c r="Q41" s="113">
        <f t="shared" si="17"/>
        <v>1.7268832325749663</v>
      </c>
      <c r="R41" s="113">
        <f t="shared" si="17"/>
        <v>1.7227733699191248</v>
      </c>
      <c r="S41" s="113">
        <f t="shared" si="17"/>
        <v>1.7187400206286441</v>
      </c>
      <c r="T41" s="113">
        <f t="shared" si="17"/>
        <v>1.7147808729233667</v>
      </c>
      <c r="U41" s="113">
        <f t="shared" si="17"/>
        <v>1.926429794491785</v>
      </c>
      <c r="V41" s="113">
        <f t="shared" si="17"/>
        <v>1.9193682810205743</v>
      </c>
      <c r="W41" s="113">
        <f t="shared" si="17"/>
        <v>1.912476361822268</v>
      </c>
      <c r="X41" s="113">
        <f t="shared" si="17"/>
        <v>1.9057474491355215</v>
      </c>
      <c r="Y41" s="113">
        <f t="shared" si="17"/>
        <v>1.899175305852367</v>
      </c>
      <c r="Z41" s="113">
        <f t="shared" si="17"/>
        <v>2.1705003989488745</v>
      </c>
      <c r="AA41" s="113">
        <f t="shared" si="17"/>
        <v>2.1589853686850624</v>
      </c>
      <c r="AB41" s="113">
        <f t="shared" si="17"/>
        <v>2.1478154775073541</v>
      </c>
      <c r="AC41" s="113">
        <f t="shared" si="17"/>
        <v>2.1369740566575928</v>
      </c>
      <c r="AD41" s="113">
        <f t="shared" si="17"/>
        <v>2.1264455365031196</v>
      </c>
      <c r="AE41" s="113">
        <f t="shared" si="17"/>
        <v>2.2654533407442798</v>
      </c>
      <c r="AF41" s="113">
        <f t="shared" si="17"/>
        <v>2.2523500343863248</v>
      </c>
      <c r="AG41" s="113">
        <f t="shared" si="17"/>
        <v>2.2396563462271075</v>
      </c>
      <c r="AH41" s="113">
        <f t="shared" si="17"/>
        <v>2.2273516602230075</v>
      </c>
      <c r="AI41" s="113">
        <f t="shared" si="17"/>
        <v>2.2154167758873697</v>
      </c>
      <c r="AJ41" s="113">
        <f t="shared" si="17"/>
        <v>2.3523571117527524</v>
      </c>
      <c r="AK41" s="113">
        <f t="shared" si="17"/>
        <v>2.3378617405330999</v>
      </c>
      <c r="AL41" s="113">
        <f t="shared" si="17"/>
        <v>2.3238321142443397</v>
      </c>
      <c r="AM41" s="113">
        <f t="shared" si="17"/>
        <v>2.3102441528672415</v>
      </c>
      <c r="AN41" s="113">
        <f t="shared" si="17"/>
        <v>2.2970754739730594</v>
      </c>
      <c r="AO41" s="113">
        <f t="shared" si="17"/>
        <v>2.325450400318033</v>
      </c>
      <c r="AP41" s="113">
        <f t="shared" si="17"/>
        <v>2.3121791544413526</v>
      </c>
      <c r="AQ41" s="113">
        <f t="shared" si="17"/>
        <v>2.299307532469463</v>
      </c>
      <c r="AR41" s="113">
        <f t="shared" si="17"/>
        <v>2.2868161463941377</v>
      </c>
      <c r="AS41" s="113">
        <f t="shared" si="17"/>
        <v>2.2746868923495853</v>
      </c>
      <c r="AT41" s="113">
        <f t="shared" si="17"/>
        <v>2.2729433374777912</v>
      </c>
      <c r="AU41" s="113">
        <f t="shared" si="17"/>
        <v>2.2612888609742896</v>
      </c>
      <c r="AV41" s="113">
        <f t="shared" si="17"/>
        <v>2.2499570818053201</v>
      </c>
    </row>
    <row r="42" spans="1:48">
      <c r="A42" s="4" t="s">
        <v>17</v>
      </c>
      <c r="B42" s="176" t="s">
        <v>237</v>
      </c>
      <c r="C42" s="176"/>
      <c r="E42" s="98"/>
      <c r="F42" s="98"/>
      <c r="G42" s="98"/>
      <c r="H42" s="98"/>
      <c r="I42" s="98"/>
      <c r="J42" s="97"/>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row>
    <row r="43" spans="1:48">
      <c r="A43" s="4" t="s">
        <v>17</v>
      </c>
      <c r="B43" s="200" t="str">
        <f>C14</f>
        <v>A</v>
      </c>
      <c r="C43" s="176"/>
      <c r="E43" s="98"/>
      <c r="F43" s="98"/>
      <c r="G43" s="98"/>
      <c r="H43" s="98"/>
      <c r="I43" s="202"/>
      <c r="J43" s="115">
        <f t="shared" ref="J43:S46" si="18">SUM($J$41:$AV$41*(J$4=$J$4:$AV$4)*($B43=$J$11:$AV$11))</f>
        <v>0</v>
      </c>
      <c r="K43" s="115">
        <f t="shared" si="18"/>
        <v>0</v>
      </c>
      <c r="L43" s="115">
        <f t="shared" si="18"/>
        <v>0</v>
      </c>
      <c r="M43" s="115">
        <f t="shared" si="18"/>
        <v>0</v>
      </c>
      <c r="N43" s="115">
        <f t="shared" si="18"/>
        <v>0</v>
      </c>
      <c r="O43" s="115">
        <f t="shared" si="18"/>
        <v>0</v>
      </c>
      <c r="P43" s="115">
        <f t="shared" si="18"/>
        <v>0</v>
      </c>
      <c r="Q43" s="115">
        <f t="shared" si="18"/>
        <v>0</v>
      </c>
      <c r="R43" s="115">
        <f t="shared" si="18"/>
        <v>0</v>
      </c>
      <c r="S43" s="115">
        <f t="shared" si="18"/>
        <v>0</v>
      </c>
      <c r="T43" s="115">
        <f t="shared" ref="T43:AC46" si="19">SUM($J$41:$AV$41*(T$4=$J$4:$AV$4)*($B43=$J$11:$AV$11))</f>
        <v>0</v>
      </c>
      <c r="U43" s="115">
        <f t="shared" si="19"/>
        <v>0</v>
      </c>
      <c r="V43" s="115">
        <f t="shared" si="19"/>
        <v>0</v>
      </c>
      <c r="W43" s="115">
        <f t="shared" si="19"/>
        <v>0</v>
      </c>
      <c r="X43" s="115">
        <f t="shared" si="19"/>
        <v>0</v>
      </c>
      <c r="Y43" s="115">
        <f t="shared" si="19"/>
        <v>0</v>
      </c>
      <c r="Z43" s="115">
        <f t="shared" si="19"/>
        <v>0</v>
      </c>
      <c r="AA43" s="115">
        <f t="shared" si="19"/>
        <v>0</v>
      </c>
      <c r="AB43" s="115">
        <f t="shared" si="19"/>
        <v>0</v>
      </c>
      <c r="AC43" s="115">
        <f t="shared" si="19"/>
        <v>0</v>
      </c>
      <c r="AD43" s="115">
        <f t="shared" ref="AD43:AM46" si="20">SUM($J$41:$AV$41*(AD$4=$J$4:$AV$4)*($B43=$J$11:$AV$11))</f>
        <v>0</v>
      </c>
      <c r="AE43" s="115">
        <f t="shared" si="20"/>
        <v>0</v>
      </c>
      <c r="AF43" s="115">
        <f t="shared" si="20"/>
        <v>0</v>
      </c>
      <c r="AG43" s="115">
        <f t="shared" si="20"/>
        <v>0</v>
      </c>
      <c r="AH43" s="115">
        <f t="shared" si="20"/>
        <v>0</v>
      </c>
      <c r="AI43" s="115">
        <f t="shared" si="20"/>
        <v>0</v>
      </c>
      <c r="AJ43" s="115">
        <f t="shared" si="20"/>
        <v>0</v>
      </c>
      <c r="AK43" s="115">
        <f t="shared" si="20"/>
        <v>0</v>
      </c>
      <c r="AL43" s="115">
        <f t="shared" si="20"/>
        <v>0</v>
      </c>
      <c r="AM43" s="115">
        <f t="shared" si="20"/>
        <v>0</v>
      </c>
      <c r="AN43" s="115">
        <f t="shared" ref="AN43:AV46" si="21">SUM($J$41:$AV$41*(AN$4=$J$4:$AV$4)*($B43=$J$11:$AV$11))</f>
        <v>0</v>
      </c>
      <c r="AO43" s="115">
        <f t="shared" si="21"/>
        <v>0</v>
      </c>
      <c r="AP43" s="115">
        <f t="shared" si="21"/>
        <v>0</v>
      </c>
      <c r="AQ43" s="115">
        <f t="shared" si="21"/>
        <v>0</v>
      </c>
      <c r="AR43" s="115">
        <f t="shared" si="21"/>
        <v>0</v>
      </c>
      <c r="AS43" s="115">
        <f t="shared" si="21"/>
        <v>0</v>
      </c>
      <c r="AT43" s="115">
        <f t="shared" si="21"/>
        <v>0</v>
      </c>
      <c r="AU43" s="115">
        <f t="shared" si="21"/>
        <v>0</v>
      </c>
      <c r="AV43" s="115">
        <f t="shared" si="21"/>
        <v>0</v>
      </c>
    </row>
    <row r="44" spans="1:48">
      <c r="A44" s="4" t="s">
        <v>17</v>
      </c>
      <c r="B44" s="200" t="str">
        <f>C15</f>
        <v>B</v>
      </c>
      <c r="C44" s="176"/>
      <c r="E44" s="98"/>
      <c r="F44" s="98"/>
      <c r="G44" s="98"/>
      <c r="H44" s="98"/>
      <c r="I44" s="202"/>
      <c r="J44" s="115">
        <f t="shared" si="18"/>
        <v>0</v>
      </c>
      <c r="K44" s="115">
        <f t="shared" si="18"/>
        <v>0</v>
      </c>
      <c r="L44" s="115">
        <f t="shared" si="18"/>
        <v>0</v>
      </c>
      <c r="M44" s="115">
        <f t="shared" si="18"/>
        <v>0</v>
      </c>
      <c r="N44" s="115">
        <f t="shared" si="18"/>
        <v>0</v>
      </c>
      <c r="O44" s="115">
        <f t="shared" si="18"/>
        <v>0</v>
      </c>
      <c r="P44" s="115">
        <f t="shared" si="18"/>
        <v>1.7310720218064439</v>
      </c>
      <c r="Q44" s="115">
        <f t="shared" si="18"/>
        <v>1.7268832325749663</v>
      </c>
      <c r="R44" s="115">
        <f t="shared" si="18"/>
        <v>1.7227733699191248</v>
      </c>
      <c r="S44" s="115">
        <f t="shared" si="18"/>
        <v>1.7187400206286441</v>
      </c>
      <c r="T44" s="115">
        <f t="shared" si="19"/>
        <v>1.7147808729233667</v>
      </c>
      <c r="U44" s="115">
        <f t="shared" si="19"/>
        <v>1.926429794491785</v>
      </c>
      <c r="V44" s="115">
        <f t="shared" si="19"/>
        <v>1.9193682810205743</v>
      </c>
      <c r="W44" s="115">
        <f t="shared" si="19"/>
        <v>1.912476361822268</v>
      </c>
      <c r="X44" s="115">
        <f t="shared" si="19"/>
        <v>1.9057474491355215</v>
      </c>
      <c r="Y44" s="115">
        <f t="shared" si="19"/>
        <v>1.899175305852367</v>
      </c>
      <c r="Z44" s="115">
        <f t="shared" si="19"/>
        <v>2.1705003989488745</v>
      </c>
      <c r="AA44" s="115">
        <f t="shared" si="19"/>
        <v>2.1589853686850624</v>
      </c>
      <c r="AB44" s="115">
        <f t="shared" si="19"/>
        <v>2.1478154775073541</v>
      </c>
      <c r="AC44" s="115">
        <f t="shared" si="19"/>
        <v>0</v>
      </c>
      <c r="AD44" s="115">
        <f t="shared" si="20"/>
        <v>0</v>
      </c>
      <c r="AE44" s="115">
        <f t="shared" si="20"/>
        <v>0</v>
      </c>
      <c r="AF44" s="115">
        <f t="shared" si="20"/>
        <v>0</v>
      </c>
      <c r="AG44" s="115">
        <f t="shared" si="20"/>
        <v>0</v>
      </c>
      <c r="AH44" s="115">
        <f t="shared" si="20"/>
        <v>0</v>
      </c>
      <c r="AI44" s="115">
        <f t="shared" si="20"/>
        <v>0</v>
      </c>
      <c r="AJ44" s="115">
        <f t="shared" si="20"/>
        <v>0</v>
      </c>
      <c r="AK44" s="115">
        <f t="shared" si="20"/>
        <v>0</v>
      </c>
      <c r="AL44" s="115">
        <f t="shared" si="20"/>
        <v>0</v>
      </c>
      <c r="AM44" s="115">
        <f t="shared" si="20"/>
        <v>0</v>
      </c>
      <c r="AN44" s="115">
        <f t="shared" si="21"/>
        <v>0</v>
      </c>
      <c r="AO44" s="115">
        <f t="shared" si="21"/>
        <v>0</v>
      </c>
      <c r="AP44" s="115">
        <f t="shared" si="21"/>
        <v>0</v>
      </c>
      <c r="AQ44" s="115">
        <f t="shared" si="21"/>
        <v>0</v>
      </c>
      <c r="AR44" s="115">
        <f t="shared" si="21"/>
        <v>0</v>
      </c>
      <c r="AS44" s="115">
        <f t="shared" si="21"/>
        <v>0</v>
      </c>
      <c r="AT44" s="115">
        <f t="shared" si="21"/>
        <v>0</v>
      </c>
      <c r="AU44" s="115">
        <f t="shared" si="21"/>
        <v>0</v>
      </c>
      <c r="AV44" s="115">
        <f t="shared" si="21"/>
        <v>0</v>
      </c>
    </row>
    <row r="45" spans="1:48">
      <c r="A45" s="4" t="s">
        <v>17</v>
      </c>
      <c r="B45" s="200" t="str">
        <f>C16</f>
        <v>C</v>
      </c>
      <c r="C45" s="176"/>
      <c r="E45" s="98"/>
      <c r="F45" s="98"/>
      <c r="G45" s="98"/>
      <c r="H45" s="98"/>
      <c r="I45" s="202"/>
      <c r="J45" s="115">
        <f t="shared" si="18"/>
        <v>0</v>
      </c>
      <c r="K45" s="115">
        <f t="shared" si="18"/>
        <v>0</v>
      </c>
      <c r="L45" s="115">
        <f t="shared" si="18"/>
        <v>0</v>
      </c>
      <c r="M45" s="115">
        <f t="shared" si="18"/>
        <v>0</v>
      </c>
      <c r="N45" s="115">
        <f t="shared" si="18"/>
        <v>0</v>
      </c>
      <c r="O45" s="115">
        <f t="shared" si="18"/>
        <v>0</v>
      </c>
      <c r="P45" s="115">
        <f t="shared" si="18"/>
        <v>0</v>
      </c>
      <c r="Q45" s="115">
        <f t="shared" si="18"/>
        <v>0</v>
      </c>
      <c r="R45" s="115">
        <f t="shared" si="18"/>
        <v>0</v>
      </c>
      <c r="S45" s="115">
        <f t="shared" si="18"/>
        <v>0</v>
      </c>
      <c r="T45" s="115">
        <f t="shared" si="19"/>
        <v>0</v>
      </c>
      <c r="U45" s="115">
        <f t="shared" si="19"/>
        <v>0</v>
      </c>
      <c r="V45" s="115">
        <f t="shared" si="19"/>
        <v>0</v>
      </c>
      <c r="W45" s="115">
        <f t="shared" si="19"/>
        <v>0</v>
      </c>
      <c r="X45" s="115">
        <f t="shared" si="19"/>
        <v>0</v>
      </c>
      <c r="Y45" s="115">
        <f t="shared" si="19"/>
        <v>0</v>
      </c>
      <c r="Z45" s="115">
        <f t="shared" si="19"/>
        <v>0</v>
      </c>
      <c r="AA45" s="115">
        <f t="shared" si="19"/>
        <v>0</v>
      </c>
      <c r="AB45" s="115">
        <f t="shared" si="19"/>
        <v>0</v>
      </c>
      <c r="AC45" s="115">
        <f t="shared" si="19"/>
        <v>2.1369740566575928</v>
      </c>
      <c r="AD45" s="115">
        <f t="shared" si="20"/>
        <v>2.1264455365031196</v>
      </c>
      <c r="AE45" s="115">
        <f t="shared" si="20"/>
        <v>2.2654533407442798</v>
      </c>
      <c r="AF45" s="115">
        <f t="shared" si="20"/>
        <v>2.2523500343863248</v>
      </c>
      <c r="AG45" s="115">
        <f t="shared" si="20"/>
        <v>2.2396563462271075</v>
      </c>
      <c r="AH45" s="115">
        <f t="shared" si="20"/>
        <v>2.2273516602230075</v>
      </c>
      <c r="AI45" s="115">
        <f t="shared" si="20"/>
        <v>2.2154167758873697</v>
      </c>
      <c r="AJ45" s="115">
        <f t="shared" si="20"/>
        <v>2.3523571117527524</v>
      </c>
      <c r="AK45" s="115">
        <f t="shared" si="20"/>
        <v>2.3378617405330999</v>
      </c>
      <c r="AL45" s="115">
        <f t="shared" si="20"/>
        <v>2.3238321142443397</v>
      </c>
      <c r="AM45" s="115">
        <f t="shared" si="20"/>
        <v>0</v>
      </c>
      <c r="AN45" s="115">
        <f t="shared" si="21"/>
        <v>0</v>
      </c>
      <c r="AO45" s="115">
        <f t="shared" si="21"/>
        <v>0</v>
      </c>
      <c r="AP45" s="115">
        <f t="shared" si="21"/>
        <v>0</v>
      </c>
      <c r="AQ45" s="115">
        <f t="shared" si="21"/>
        <v>0</v>
      </c>
      <c r="AR45" s="115">
        <f t="shared" si="21"/>
        <v>0</v>
      </c>
      <c r="AS45" s="115">
        <f t="shared" si="21"/>
        <v>0</v>
      </c>
      <c r="AT45" s="115">
        <f t="shared" si="21"/>
        <v>0</v>
      </c>
      <c r="AU45" s="115">
        <f t="shared" si="21"/>
        <v>0</v>
      </c>
      <c r="AV45" s="115">
        <f t="shared" si="21"/>
        <v>0</v>
      </c>
    </row>
    <row r="46" spans="1:48">
      <c r="A46" s="4" t="s">
        <v>17</v>
      </c>
      <c r="B46" s="200" t="str">
        <f>C17</f>
        <v>D</v>
      </c>
      <c r="C46" s="176"/>
      <c r="E46" s="98"/>
      <c r="F46" s="98"/>
      <c r="G46" s="98"/>
      <c r="H46" s="98"/>
      <c r="I46" s="202"/>
      <c r="J46" s="115">
        <f t="shared" si="18"/>
        <v>0</v>
      </c>
      <c r="K46" s="115">
        <f t="shared" si="18"/>
        <v>0</v>
      </c>
      <c r="L46" s="115">
        <f t="shared" si="18"/>
        <v>0</v>
      </c>
      <c r="M46" s="115">
        <f t="shared" si="18"/>
        <v>0</v>
      </c>
      <c r="N46" s="115">
        <f t="shared" si="18"/>
        <v>0</v>
      </c>
      <c r="O46" s="115">
        <f t="shared" si="18"/>
        <v>0</v>
      </c>
      <c r="P46" s="115">
        <f t="shared" si="18"/>
        <v>0</v>
      </c>
      <c r="Q46" s="115">
        <f t="shared" si="18"/>
        <v>0</v>
      </c>
      <c r="R46" s="115">
        <f t="shared" si="18"/>
        <v>0</v>
      </c>
      <c r="S46" s="115">
        <f t="shared" si="18"/>
        <v>0</v>
      </c>
      <c r="T46" s="115">
        <f t="shared" si="19"/>
        <v>0</v>
      </c>
      <c r="U46" s="115">
        <f t="shared" si="19"/>
        <v>0</v>
      </c>
      <c r="V46" s="115">
        <f t="shared" si="19"/>
        <v>0</v>
      </c>
      <c r="W46" s="115">
        <f t="shared" si="19"/>
        <v>0</v>
      </c>
      <c r="X46" s="115">
        <f t="shared" si="19"/>
        <v>0</v>
      </c>
      <c r="Y46" s="115">
        <f t="shared" si="19"/>
        <v>0</v>
      </c>
      <c r="Z46" s="115">
        <f t="shared" si="19"/>
        <v>0</v>
      </c>
      <c r="AA46" s="115">
        <f t="shared" si="19"/>
        <v>0</v>
      </c>
      <c r="AB46" s="115">
        <f t="shared" si="19"/>
        <v>0</v>
      </c>
      <c r="AC46" s="115">
        <f t="shared" si="19"/>
        <v>0</v>
      </c>
      <c r="AD46" s="115">
        <f t="shared" si="20"/>
        <v>0</v>
      </c>
      <c r="AE46" s="115">
        <f t="shared" si="20"/>
        <v>0</v>
      </c>
      <c r="AF46" s="115">
        <f t="shared" si="20"/>
        <v>0</v>
      </c>
      <c r="AG46" s="115">
        <f t="shared" si="20"/>
        <v>0</v>
      </c>
      <c r="AH46" s="115">
        <f t="shared" si="20"/>
        <v>0</v>
      </c>
      <c r="AI46" s="115">
        <f t="shared" si="20"/>
        <v>0</v>
      </c>
      <c r="AJ46" s="115">
        <f t="shared" si="20"/>
        <v>0</v>
      </c>
      <c r="AK46" s="115">
        <f t="shared" si="20"/>
        <v>0</v>
      </c>
      <c r="AL46" s="115">
        <f t="shared" si="20"/>
        <v>0</v>
      </c>
      <c r="AM46" s="115">
        <f t="shared" si="20"/>
        <v>2.3102441528672415</v>
      </c>
      <c r="AN46" s="115">
        <f t="shared" si="21"/>
        <v>2.2970754739730594</v>
      </c>
      <c r="AO46" s="115">
        <f t="shared" si="21"/>
        <v>2.325450400318033</v>
      </c>
      <c r="AP46" s="115">
        <f t="shared" si="21"/>
        <v>2.3121791544413526</v>
      </c>
      <c r="AQ46" s="115">
        <f t="shared" si="21"/>
        <v>2.299307532469463</v>
      </c>
      <c r="AR46" s="115">
        <f t="shared" si="21"/>
        <v>2.2868161463941377</v>
      </c>
      <c r="AS46" s="115">
        <f t="shared" si="21"/>
        <v>2.2746868923495853</v>
      </c>
      <c r="AT46" s="115">
        <f t="shared" si="21"/>
        <v>2.2729433374777912</v>
      </c>
      <c r="AU46" s="115">
        <f t="shared" si="21"/>
        <v>2.2612888609742896</v>
      </c>
      <c r="AV46" s="115">
        <f t="shared" si="21"/>
        <v>2.2499570818053201</v>
      </c>
    </row>
    <row r="47" spans="1:48">
      <c r="A47" s="4" t="s">
        <v>17</v>
      </c>
      <c r="B47" s="176"/>
      <c r="C47" s="176"/>
      <c r="E47" s="98"/>
      <c r="F47" s="98"/>
      <c r="G47" s="98"/>
      <c r="H47" s="98"/>
      <c r="I47" s="202"/>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row>
    <row r="48" spans="1:48">
      <c r="A48" s="4" t="s">
        <v>17</v>
      </c>
      <c r="B48" s="200" t="s">
        <v>238</v>
      </c>
      <c r="C48" s="176"/>
      <c r="E48" s="98"/>
      <c r="F48" s="98"/>
      <c r="G48" s="98"/>
      <c r="H48" s="98"/>
      <c r="I48" s="202"/>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row>
    <row r="49" spans="1:48">
      <c r="A49" s="4" t="s">
        <v>17</v>
      </c>
      <c r="B49" s="200" t="str">
        <f>B43</f>
        <v>A</v>
      </c>
      <c r="C49" s="176"/>
      <c r="E49" s="98"/>
      <c r="F49" s="98"/>
      <c r="G49" s="98"/>
      <c r="H49" s="98"/>
      <c r="I49" s="202" t="str">
        <f>B43</f>
        <v>A</v>
      </c>
      <c r="J49" s="115">
        <f>J36</f>
        <v>0</v>
      </c>
      <c r="K49" s="115">
        <f t="shared" ref="K49:AV52" si="22">J49+K43</f>
        <v>0</v>
      </c>
      <c r="L49" s="115">
        <f t="shared" si="22"/>
        <v>0</v>
      </c>
      <c r="M49" s="115">
        <f t="shared" si="22"/>
        <v>0</v>
      </c>
      <c r="N49" s="115">
        <f t="shared" si="22"/>
        <v>0</v>
      </c>
      <c r="O49" s="115">
        <f t="shared" si="22"/>
        <v>0</v>
      </c>
      <c r="P49" s="115">
        <f t="shared" si="22"/>
        <v>0</v>
      </c>
      <c r="Q49" s="115">
        <f t="shared" si="22"/>
        <v>0</v>
      </c>
      <c r="R49" s="115">
        <f t="shared" si="22"/>
        <v>0</v>
      </c>
      <c r="S49" s="115">
        <f t="shared" si="22"/>
        <v>0</v>
      </c>
      <c r="T49" s="115">
        <f t="shared" si="22"/>
        <v>0</v>
      </c>
      <c r="U49" s="115">
        <f t="shared" si="22"/>
        <v>0</v>
      </c>
      <c r="V49" s="115">
        <f t="shared" si="22"/>
        <v>0</v>
      </c>
      <c r="W49" s="115">
        <f t="shared" si="22"/>
        <v>0</v>
      </c>
      <c r="X49" s="115">
        <f t="shared" si="22"/>
        <v>0</v>
      </c>
      <c r="Y49" s="115">
        <f t="shared" si="22"/>
        <v>0</v>
      </c>
      <c r="Z49" s="115">
        <f t="shared" si="22"/>
        <v>0</v>
      </c>
      <c r="AA49" s="115">
        <f t="shared" si="22"/>
        <v>0</v>
      </c>
      <c r="AB49" s="115">
        <f t="shared" si="22"/>
        <v>0</v>
      </c>
      <c r="AC49" s="115">
        <f t="shared" si="22"/>
        <v>0</v>
      </c>
      <c r="AD49" s="115">
        <f t="shared" si="22"/>
        <v>0</v>
      </c>
      <c r="AE49" s="115">
        <f t="shared" si="22"/>
        <v>0</v>
      </c>
      <c r="AF49" s="115">
        <f t="shared" si="22"/>
        <v>0</v>
      </c>
      <c r="AG49" s="115">
        <f t="shared" si="22"/>
        <v>0</v>
      </c>
      <c r="AH49" s="115">
        <f t="shared" si="22"/>
        <v>0</v>
      </c>
      <c r="AI49" s="115">
        <f t="shared" si="22"/>
        <v>0</v>
      </c>
      <c r="AJ49" s="115">
        <f t="shared" si="22"/>
        <v>0</v>
      </c>
      <c r="AK49" s="115">
        <f t="shared" si="22"/>
        <v>0</v>
      </c>
      <c r="AL49" s="115">
        <f t="shared" si="22"/>
        <v>0</v>
      </c>
      <c r="AM49" s="115">
        <f t="shared" si="22"/>
        <v>0</v>
      </c>
      <c r="AN49" s="115">
        <f t="shared" si="22"/>
        <v>0</v>
      </c>
      <c r="AO49" s="115">
        <f t="shared" si="22"/>
        <v>0</v>
      </c>
      <c r="AP49" s="115">
        <f t="shared" si="22"/>
        <v>0</v>
      </c>
      <c r="AQ49" s="115">
        <f t="shared" si="22"/>
        <v>0</v>
      </c>
      <c r="AR49" s="115">
        <f t="shared" si="22"/>
        <v>0</v>
      </c>
      <c r="AS49" s="115">
        <f t="shared" si="22"/>
        <v>0</v>
      </c>
      <c r="AT49" s="115">
        <f t="shared" si="22"/>
        <v>0</v>
      </c>
      <c r="AU49" s="115">
        <f t="shared" si="22"/>
        <v>0</v>
      </c>
      <c r="AV49" s="115">
        <f t="shared" si="22"/>
        <v>0</v>
      </c>
    </row>
    <row r="50" spans="1:48">
      <c r="A50" s="4" t="s">
        <v>17</v>
      </c>
      <c r="B50" s="200" t="str">
        <f>B44</f>
        <v>B</v>
      </c>
      <c r="C50" s="176"/>
      <c r="E50" s="98"/>
      <c r="F50" s="98"/>
      <c r="G50" s="98"/>
      <c r="H50" s="98"/>
      <c r="I50" s="202" t="str">
        <f>B44</f>
        <v>B</v>
      </c>
      <c r="J50" s="115">
        <v>0</v>
      </c>
      <c r="K50" s="115">
        <f t="shared" si="22"/>
        <v>0</v>
      </c>
      <c r="L50" s="115">
        <f t="shared" si="22"/>
        <v>0</v>
      </c>
      <c r="M50" s="115">
        <f t="shared" si="22"/>
        <v>0</v>
      </c>
      <c r="N50" s="115">
        <f t="shared" si="22"/>
        <v>0</v>
      </c>
      <c r="O50" s="115">
        <f t="shared" si="22"/>
        <v>0</v>
      </c>
      <c r="P50" s="115">
        <f t="shared" si="22"/>
        <v>1.7310720218064439</v>
      </c>
      <c r="Q50" s="115">
        <f t="shared" si="22"/>
        <v>3.4579552543814103</v>
      </c>
      <c r="R50" s="115">
        <f t="shared" si="22"/>
        <v>5.180728624300535</v>
      </c>
      <c r="S50" s="115">
        <f t="shared" si="22"/>
        <v>6.8994686449291791</v>
      </c>
      <c r="T50" s="115">
        <f t="shared" si="22"/>
        <v>8.6142495178525458</v>
      </c>
      <c r="U50" s="115">
        <f t="shared" si="22"/>
        <v>10.540679312344331</v>
      </c>
      <c r="V50" s="115">
        <f t="shared" si="22"/>
        <v>12.460047593364905</v>
      </c>
      <c r="W50" s="115">
        <f t="shared" si="22"/>
        <v>14.372523955187173</v>
      </c>
      <c r="X50" s="115">
        <f t="shared" si="22"/>
        <v>16.278271404322695</v>
      </c>
      <c r="Y50" s="115">
        <f t="shared" si="22"/>
        <v>18.177446710175062</v>
      </c>
      <c r="Z50" s="115">
        <f t="shared" si="22"/>
        <v>20.347947109123936</v>
      </c>
      <c r="AA50" s="115">
        <f t="shared" si="22"/>
        <v>22.506932477808999</v>
      </c>
      <c r="AB50" s="115">
        <f t="shared" si="22"/>
        <v>24.654747955316353</v>
      </c>
      <c r="AC50" s="115">
        <f t="shared" si="22"/>
        <v>24.654747955316353</v>
      </c>
      <c r="AD50" s="115">
        <f t="shared" si="22"/>
        <v>24.654747955316353</v>
      </c>
      <c r="AE50" s="115">
        <f t="shared" si="22"/>
        <v>24.654747955316353</v>
      </c>
      <c r="AF50" s="115">
        <f t="shared" si="22"/>
        <v>24.654747955316353</v>
      </c>
      <c r="AG50" s="115">
        <f t="shared" si="22"/>
        <v>24.654747955316353</v>
      </c>
      <c r="AH50" s="115">
        <f t="shared" si="22"/>
        <v>24.654747955316353</v>
      </c>
      <c r="AI50" s="115">
        <f t="shared" si="22"/>
        <v>24.654747955316353</v>
      </c>
      <c r="AJ50" s="115">
        <f t="shared" si="22"/>
        <v>24.654747955316353</v>
      </c>
      <c r="AK50" s="115">
        <f t="shared" si="22"/>
        <v>24.654747955316353</v>
      </c>
      <c r="AL50" s="115">
        <f t="shared" si="22"/>
        <v>24.654747955316353</v>
      </c>
      <c r="AM50" s="115">
        <f t="shared" si="22"/>
        <v>24.654747955316353</v>
      </c>
      <c r="AN50" s="115">
        <f t="shared" si="22"/>
        <v>24.654747955316353</v>
      </c>
      <c r="AO50" s="115">
        <f t="shared" si="22"/>
        <v>24.654747955316353</v>
      </c>
      <c r="AP50" s="115">
        <f t="shared" si="22"/>
        <v>24.654747955316353</v>
      </c>
      <c r="AQ50" s="115">
        <f t="shared" si="22"/>
        <v>24.654747955316353</v>
      </c>
      <c r="AR50" s="115">
        <f t="shared" si="22"/>
        <v>24.654747955316353</v>
      </c>
      <c r="AS50" s="115">
        <f t="shared" si="22"/>
        <v>24.654747955316353</v>
      </c>
      <c r="AT50" s="115">
        <f t="shared" si="22"/>
        <v>24.654747955316353</v>
      </c>
      <c r="AU50" s="115">
        <f t="shared" si="22"/>
        <v>24.654747955316353</v>
      </c>
      <c r="AV50" s="115">
        <f t="shared" si="22"/>
        <v>24.654747955316353</v>
      </c>
    </row>
    <row r="51" spans="1:48">
      <c r="A51" s="4" t="s">
        <v>17</v>
      </c>
      <c r="B51" s="200" t="str">
        <f>B45</f>
        <v>C</v>
      </c>
      <c r="C51" s="176"/>
      <c r="E51" s="98"/>
      <c r="F51" s="98"/>
      <c r="G51" s="98"/>
      <c r="H51" s="98"/>
      <c r="I51" s="202" t="str">
        <f>B45</f>
        <v>C</v>
      </c>
      <c r="J51" s="115">
        <v>0</v>
      </c>
      <c r="K51" s="115">
        <f t="shared" si="22"/>
        <v>0</v>
      </c>
      <c r="L51" s="115">
        <f t="shared" si="22"/>
        <v>0</v>
      </c>
      <c r="M51" s="115">
        <f t="shared" si="22"/>
        <v>0</v>
      </c>
      <c r="N51" s="115">
        <f t="shared" si="22"/>
        <v>0</v>
      </c>
      <c r="O51" s="115">
        <f t="shared" si="22"/>
        <v>0</v>
      </c>
      <c r="P51" s="115">
        <f t="shared" si="22"/>
        <v>0</v>
      </c>
      <c r="Q51" s="115">
        <f t="shared" si="22"/>
        <v>0</v>
      </c>
      <c r="R51" s="115">
        <f t="shared" si="22"/>
        <v>0</v>
      </c>
      <c r="S51" s="115">
        <f t="shared" si="22"/>
        <v>0</v>
      </c>
      <c r="T51" s="115">
        <f t="shared" si="22"/>
        <v>0</v>
      </c>
      <c r="U51" s="115">
        <f t="shared" si="22"/>
        <v>0</v>
      </c>
      <c r="V51" s="115">
        <f t="shared" si="22"/>
        <v>0</v>
      </c>
      <c r="W51" s="115">
        <f t="shared" si="22"/>
        <v>0</v>
      </c>
      <c r="X51" s="115">
        <f t="shared" si="22"/>
        <v>0</v>
      </c>
      <c r="Y51" s="115">
        <f t="shared" si="22"/>
        <v>0</v>
      </c>
      <c r="Z51" s="115">
        <f t="shared" si="22"/>
        <v>0</v>
      </c>
      <c r="AA51" s="115">
        <f t="shared" si="22"/>
        <v>0</v>
      </c>
      <c r="AB51" s="115">
        <f t="shared" si="22"/>
        <v>0</v>
      </c>
      <c r="AC51" s="115">
        <f t="shared" si="22"/>
        <v>2.1369740566575928</v>
      </c>
      <c r="AD51" s="115">
        <f t="shared" si="22"/>
        <v>4.2634195931607124</v>
      </c>
      <c r="AE51" s="115">
        <f t="shared" si="22"/>
        <v>6.5288729339049922</v>
      </c>
      <c r="AF51" s="115">
        <f t="shared" si="22"/>
        <v>8.781222968291317</v>
      </c>
      <c r="AG51" s="115">
        <f t="shared" si="22"/>
        <v>11.020879314518425</v>
      </c>
      <c r="AH51" s="115">
        <f t="shared" si="22"/>
        <v>13.248230974741432</v>
      </c>
      <c r="AI51" s="115">
        <f t="shared" si="22"/>
        <v>15.463647750628802</v>
      </c>
      <c r="AJ51" s="115">
        <f t="shared" si="22"/>
        <v>17.816004862381554</v>
      </c>
      <c r="AK51" s="115">
        <f t="shared" si="22"/>
        <v>20.153866602914654</v>
      </c>
      <c r="AL51" s="115">
        <f t="shared" si="22"/>
        <v>22.477698717158994</v>
      </c>
      <c r="AM51" s="115">
        <f t="shared" si="22"/>
        <v>22.477698717158994</v>
      </c>
      <c r="AN51" s="115">
        <f t="shared" si="22"/>
        <v>22.477698717158994</v>
      </c>
      <c r="AO51" s="115">
        <f t="shared" si="22"/>
        <v>22.477698717158994</v>
      </c>
      <c r="AP51" s="115">
        <f t="shared" si="22"/>
        <v>22.477698717158994</v>
      </c>
      <c r="AQ51" s="115">
        <f t="shared" si="22"/>
        <v>22.477698717158994</v>
      </c>
      <c r="AR51" s="115">
        <f t="shared" si="22"/>
        <v>22.477698717158994</v>
      </c>
      <c r="AS51" s="115">
        <f t="shared" si="22"/>
        <v>22.477698717158994</v>
      </c>
      <c r="AT51" s="115">
        <f t="shared" si="22"/>
        <v>22.477698717158994</v>
      </c>
      <c r="AU51" s="115">
        <f t="shared" si="22"/>
        <v>22.477698717158994</v>
      </c>
      <c r="AV51" s="115">
        <f t="shared" si="22"/>
        <v>22.477698717158994</v>
      </c>
    </row>
    <row r="52" spans="1:48">
      <c r="A52" s="4" t="s">
        <v>17</v>
      </c>
      <c r="B52" s="200" t="str">
        <f>B46</f>
        <v>D</v>
      </c>
      <c r="C52" s="176"/>
      <c r="E52" s="98"/>
      <c r="F52" s="98"/>
      <c r="G52" s="98"/>
      <c r="H52" s="98"/>
      <c r="I52" s="202" t="str">
        <f>B46</f>
        <v>D</v>
      </c>
      <c r="J52" s="115">
        <v>0</v>
      </c>
      <c r="K52" s="115">
        <f t="shared" si="22"/>
        <v>0</v>
      </c>
      <c r="L52" s="115">
        <f t="shared" si="22"/>
        <v>0</v>
      </c>
      <c r="M52" s="115">
        <f t="shared" si="22"/>
        <v>0</v>
      </c>
      <c r="N52" s="115">
        <f t="shared" si="22"/>
        <v>0</v>
      </c>
      <c r="O52" s="115">
        <f t="shared" si="22"/>
        <v>0</v>
      </c>
      <c r="P52" s="115">
        <f t="shared" si="22"/>
        <v>0</v>
      </c>
      <c r="Q52" s="115">
        <f t="shared" si="22"/>
        <v>0</v>
      </c>
      <c r="R52" s="115">
        <f t="shared" si="22"/>
        <v>0</v>
      </c>
      <c r="S52" s="115">
        <f t="shared" si="22"/>
        <v>0</v>
      </c>
      <c r="T52" s="115">
        <f t="shared" si="22"/>
        <v>0</v>
      </c>
      <c r="U52" s="115">
        <f t="shared" si="22"/>
        <v>0</v>
      </c>
      <c r="V52" s="115">
        <f t="shared" si="22"/>
        <v>0</v>
      </c>
      <c r="W52" s="115">
        <f t="shared" si="22"/>
        <v>0</v>
      </c>
      <c r="X52" s="115">
        <f t="shared" si="22"/>
        <v>0</v>
      </c>
      <c r="Y52" s="115">
        <f t="shared" si="22"/>
        <v>0</v>
      </c>
      <c r="Z52" s="115">
        <f t="shared" si="22"/>
        <v>0</v>
      </c>
      <c r="AA52" s="115">
        <f t="shared" si="22"/>
        <v>0</v>
      </c>
      <c r="AB52" s="115">
        <f t="shared" si="22"/>
        <v>0</v>
      </c>
      <c r="AC52" s="115">
        <f t="shared" si="22"/>
        <v>0</v>
      </c>
      <c r="AD52" s="115">
        <f t="shared" si="22"/>
        <v>0</v>
      </c>
      <c r="AE52" s="115">
        <f t="shared" si="22"/>
        <v>0</v>
      </c>
      <c r="AF52" s="115">
        <f t="shared" si="22"/>
        <v>0</v>
      </c>
      <c r="AG52" s="115">
        <f t="shared" si="22"/>
        <v>0</v>
      </c>
      <c r="AH52" s="115">
        <f t="shared" si="22"/>
        <v>0</v>
      </c>
      <c r="AI52" s="115">
        <f t="shared" si="22"/>
        <v>0</v>
      </c>
      <c r="AJ52" s="115">
        <f t="shared" si="22"/>
        <v>0</v>
      </c>
      <c r="AK52" s="115">
        <f t="shared" si="22"/>
        <v>0</v>
      </c>
      <c r="AL52" s="115">
        <f t="shared" si="22"/>
        <v>0</v>
      </c>
      <c r="AM52" s="115">
        <f t="shared" si="22"/>
        <v>2.3102441528672415</v>
      </c>
      <c r="AN52" s="115">
        <f t="shared" si="22"/>
        <v>4.6073196268403009</v>
      </c>
      <c r="AO52" s="115">
        <f t="shared" si="22"/>
        <v>6.9327700271583339</v>
      </c>
      <c r="AP52" s="115">
        <f t="shared" si="22"/>
        <v>9.2449491815996865</v>
      </c>
      <c r="AQ52" s="115">
        <f t="shared" si="22"/>
        <v>11.544256714069149</v>
      </c>
      <c r="AR52" s="115">
        <f t="shared" si="22"/>
        <v>13.831072860463287</v>
      </c>
      <c r="AS52" s="115">
        <f t="shared" si="22"/>
        <v>16.105759752812872</v>
      </c>
      <c r="AT52" s="115">
        <f t="shared" si="22"/>
        <v>18.378703090290664</v>
      </c>
      <c r="AU52" s="115">
        <f t="shared" si="22"/>
        <v>20.639991951264953</v>
      </c>
      <c r="AV52" s="115">
        <f t="shared" si="22"/>
        <v>22.889949033070273</v>
      </c>
    </row>
    <row r="53" spans="1:48">
      <c r="A53" s="4" t="s">
        <v>17</v>
      </c>
      <c r="B53" s="176" t="s">
        <v>239</v>
      </c>
      <c r="C53" s="176"/>
      <c r="E53" s="98"/>
      <c r="F53" s="98"/>
      <c r="G53" s="98"/>
      <c r="H53" s="98"/>
      <c r="I53" s="202"/>
      <c r="J53" s="115">
        <f t="shared" ref="J53:AV53" si="23">SUM(J49:J52)</f>
        <v>0</v>
      </c>
      <c r="K53" s="115">
        <f t="shared" si="23"/>
        <v>0</v>
      </c>
      <c r="L53" s="115">
        <f t="shared" si="23"/>
        <v>0</v>
      </c>
      <c r="M53" s="115">
        <f t="shared" si="23"/>
        <v>0</v>
      </c>
      <c r="N53" s="115">
        <f t="shared" si="23"/>
        <v>0</v>
      </c>
      <c r="O53" s="115">
        <f t="shared" si="23"/>
        <v>0</v>
      </c>
      <c r="P53" s="115">
        <f t="shared" si="23"/>
        <v>1.7310720218064439</v>
      </c>
      <c r="Q53" s="115">
        <f t="shared" si="23"/>
        <v>3.4579552543814103</v>
      </c>
      <c r="R53" s="115">
        <f t="shared" si="23"/>
        <v>5.180728624300535</v>
      </c>
      <c r="S53" s="115">
        <f t="shared" si="23"/>
        <v>6.8994686449291791</v>
      </c>
      <c r="T53" s="115">
        <f t="shared" si="23"/>
        <v>8.6142495178525458</v>
      </c>
      <c r="U53" s="115">
        <f t="shared" si="23"/>
        <v>10.540679312344331</v>
      </c>
      <c r="V53" s="115">
        <f t="shared" si="23"/>
        <v>12.460047593364905</v>
      </c>
      <c r="W53" s="115">
        <f t="shared" si="23"/>
        <v>14.372523955187173</v>
      </c>
      <c r="X53" s="115">
        <f t="shared" si="23"/>
        <v>16.278271404322695</v>
      </c>
      <c r="Y53" s="115">
        <f t="shared" si="23"/>
        <v>18.177446710175062</v>
      </c>
      <c r="Z53" s="115">
        <f t="shared" si="23"/>
        <v>20.347947109123936</v>
      </c>
      <c r="AA53" s="115">
        <f t="shared" si="23"/>
        <v>22.506932477808999</v>
      </c>
      <c r="AB53" s="115">
        <f t="shared" si="23"/>
        <v>24.654747955316353</v>
      </c>
      <c r="AC53" s="115">
        <f t="shared" si="23"/>
        <v>26.791722011973945</v>
      </c>
      <c r="AD53" s="115">
        <f t="shared" si="23"/>
        <v>28.918167548477065</v>
      </c>
      <c r="AE53" s="115">
        <f t="shared" si="23"/>
        <v>31.183620889221345</v>
      </c>
      <c r="AF53" s="115">
        <f t="shared" si="23"/>
        <v>33.43597092360767</v>
      </c>
      <c r="AG53" s="115">
        <f t="shared" si="23"/>
        <v>35.675627269834777</v>
      </c>
      <c r="AH53" s="115">
        <f t="shared" si="23"/>
        <v>37.902978930057785</v>
      </c>
      <c r="AI53" s="115">
        <f t="shared" si="23"/>
        <v>40.118395705945154</v>
      </c>
      <c r="AJ53" s="115">
        <f t="shared" si="23"/>
        <v>42.470752817697907</v>
      </c>
      <c r="AK53" s="115">
        <f t="shared" si="23"/>
        <v>44.808614558231007</v>
      </c>
      <c r="AL53" s="115">
        <f t="shared" si="23"/>
        <v>47.132446672475346</v>
      </c>
      <c r="AM53" s="115">
        <f t="shared" si="23"/>
        <v>49.442690825342588</v>
      </c>
      <c r="AN53" s="115">
        <f t="shared" si="23"/>
        <v>51.739766299315647</v>
      </c>
      <c r="AO53" s="115">
        <f t="shared" si="23"/>
        <v>54.06521669963368</v>
      </c>
      <c r="AP53" s="115">
        <f t="shared" si="23"/>
        <v>56.377395854075033</v>
      </c>
      <c r="AQ53" s="115">
        <f t="shared" si="23"/>
        <v>58.676703386544496</v>
      </c>
      <c r="AR53" s="115">
        <f t="shared" si="23"/>
        <v>60.963519532938633</v>
      </c>
      <c r="AS53" s="115">
        <f t="shared" si="23"/>
        <v>63.238206425288219</v>
      </c>
      <c r="AT53" s="115">
        <f t="shared" si="23"/>
        <v>65.51114976276601</v>
      </c>
      <c r="AU53" s="115">
        <f t="shared" si="23"/>
        <v>67.7724386237403</v>
      </c>
      <c r="AV53" s="115">
        <f t="shared" si="23"/>
        <v>70.02239570554562</v>
      </c>
    </row>
    <row r="54" spans="1:48">
      <c r="A54" s="4" t="s">
        <v>17</v>
      </c>
      <c r="B54" s="176"/>
      <c r="I54" s="181"/>
      <c r="J54" s="115"/>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118"/>
      <c r="AQ54" s="118"/>
      <c r="AR54" s="118"/>
      <c r="AS54" s="118"/>
      <c r="AT54" s="118"/>
      <c r="AU54" s="118"/>
      <c r="AV54" s="115"/>
    </row>
    <row r="55" spans="1:48" ht="15" thickBot="1">
      <c r="A55" s="4" t="s">
        <v>17</v>
      </c>
      <c r="B55" s="94" t="s">
        <v>15</v>
      </c>
      <c r="C55" s="94" t="s">
        <v>533</v>
      </c>
      <c r="D55" s="94" t="s">
        <v>531</v>
      </c>
      <c r="E55" s="94">
        <v>2017</v>
      </c>
      <c r="F55" s="94" t="s">
        <v>532</v>
      </c>
      <c r="G55" s="96">
        <v>2017</v>
      </c>
      <c r="I55" s="181"/>
      <c r="J55" s="118"/>
      <c r="K55" s="96"/>
    </row>
    <row r="56" spans="1:48">
      <c r="A56" s="4" t="s">
        <v>17</v>
      </c>
      <c r="B56" s="98" t="s">
        <v>73</v>
      </c>
      <c r="C56" s="98" t="s">
        <v>113</v>
      </c>
      <c r="D56" s="116">
        <f t="shared" ref="D56:E64" si="24">F56*1000</f>
        <v>139664.39435388436</v>
      </c>
      <c r="E56" s="116">
        <f t="shared" si="24"/>
        <v>120283.34032399778</v>
      </c>
      <c r="F56" s="24">
        <f>'[7]TS BYDem'!$J10</f>
        <v>139.66439435388435</v>
      </c>
      <c r="G56" s="96">
        <f>'[7]TS BYDem'!$O10</f>
        <v>120.28334032399778</v>
      </c>
      <c r="J56" s="95"/>
      <c r="K56" s="96"/>
    </row>
    <row r="57" spans="1:48">
      <c r="A57" s="4" t="s">
        <v>17</v>
      </c>
      <c r="B57" s="98" t="s">
        <v>263</v>
      </c>
      <c r="C57" s="98" t="s">
        <v>114</v>
      </c>
      <c r="D57" s="116">
        <f t="shared" si="24"/>
        <v>7851.7549075018987</v>
      </c>
      <c r="E57" s="116">
        <f t="shared" si="24"/>
        <v>11470.981711368382</v>
      </c>
      <c r="F57" s="24">
        <f>'[7]TS BYDem'!$J11</f>
        <v>7.8517549075018991</v>
      </c>
      <c r="G57" s="96">
        <f>'[7]TS BYDem'!$O11</f>
        <v>11.470981711368381</v>
      </c>
      <c r="J57" s="95"/>
      <c r="K57" s="96"/>
    </row>
    <row r="58" spans="1:48">
      <c r="A58" s="4" t="s">
        <v>17</v>
      </c>
      <c r="B58" s="98" t="s">
        <v>264</v>
      </c>
      <c r="C58" s="98" t="s">
        <v>108</v>
      </c>
      <c r="D58" s="116">
        <f t="shared" si="24"/>
        <v>9894.4997565297635</v>
      </c>
      <c r="E58" s="116">
        <f t="shared" si="24"/>
        <v>8579.7067698540795</v>
      </c>
      <c r="F58" s="24">
        <f>'[7]TS BYDem'!$J12</f>
        <v>9.894499756529763</v>
      </c>
      <c r="G58" s="96">
        <f>'[7]TS BYDem'!$O12</f>
        <v>8.579706769854079</v>
      </c>
      <c r="J58" s="95"/>
      <c r="K58" s="96"/>
    </row>
    <row r="59" spans="1:48">
      <c r="A59" s="4" t="s">
        <v>17</v>
      </c>
      <c r="B59" s="98" t="s">
        <v>74</v>
      </c>
      <c r="C59" s="98" t="s">
        <v>112</v>
      </c>
      <c r="D59" s="116">
        <f t="shared" si="24"/>
        <v>121540.2719056889</v>
      </c>
      <c r="E59" s="116">
        <f t="shared" si="24"/>
        <v>104674.27977141128</v>
      </c>
      <c r="F59" s="24">
        <f>'[7]TS BYDem'!$J13</f>
        <v>121.5402719056889</v>
      </c>
      <c r="G59" s="96">
        <f>'[7]TS BYDem'!$O13</f>
        <v>104.67427977141128</v>
      </c>
      <c r="J59" s="95"/>
      <c r="K59" s="96"/>
    </row>
    <row r="60" spans="1:48">
      <c r="A60" s="4" t="s">
        <v>17</v>
      </c>
      <c r="B60" s="98" t="s">
        <v>265</v>
      </c>
      <c r="C60" s="98" t="s">
        <v>125</v>
      </c>
      <c r="D60" s="116">
        <f t="shared" si="24"/>
        <v>29566.39037374705</v>
      </c>
      <c r="E60" s="116">
        <f t="shared" si="24"/>
        <v>25463.499211305458</v>
      </c>
      <c r="F60" s="24">
        <f>'[7]TS BYDem'!$J14</f>
        <v>29.566390373747051</v>
      </c>
      <c r="G60" s="96">
        <f>'[7]TS BYDem'!$O14</f>
        <v>25.463499211305457</v>
      </c>
      <c r="J60" s="95"/>
      <c r="K60" s="96"/>
    </row>
    <row r="61" spans="1:48">
      <c r="A61" s="4" t="s">
        <v>17</v>
      </c>
      <c r="B61" s="98" t="s">
        <v>266</v>
      </c>
      <c r="C61" s="98" t="s">
        <v>267</v>
      </c>
      <c r="D61" s="116">
        <f t="shared" si="24"/>
        <v>9683.1090230750324</v>
      </c>
      <c r="E61" s="116">
        <f t="shared" si="24"/>
        <v>13273.861719969342</v>
      </c>
      <c r="F61" s="24">
        <f>'[7]TS BYDem'!$J15</f>
        <v>9.6831090230750316</v>
      </c>
      <c r="G61" s="96">
        <f>'[7]TS BYDem'!$O15</f>
        <v>13.273861719969341</v>
      </c>
      <c r="J61" s="95"/>
      <c r="K61" s="96"/>
    </row>
    <row r="62" spans="1:48">
      <c r="A62" s="4" t="s">
        <v>17</v>
      </c>
      <c r="B62" s="128" t="s">
        <v>270</v>
      </c>
      <c r="C62" s="128" t="s">
        <v>271</v>
      </c>
      <c r="D62" s="116">
        <f t="shared" si="24"/>
        <v>10300.552873773209</v>
      </c>
      <c r="E62" s="116">
        <f t="shared" si="24"/>
        <v>8871.1579824850141</v>
      </c>
      <c r="F62" s="24">
        <f>'[7]TS BYDem'!$J16</f>
        <v>10.30055287377321</v>
      </c>
      <c r="G62" s="96">
        <f>'[7]TS BYDem'!$O16</f>
        <v>8.8711579824850144</v>
      </c>
      <c r="J62" s="95"/>
      <c r="K62" s="96"/>
    </row>
    <row r="63" spans="1:48">
      <c r="A63" s="4" t="s">
        <v>17</v>
      </c>
      <c r="B63" s="128" t="s">
        <v>269</v>
      </c>
      <c r="C63" s="128" t="s">
        <v>222</v>
      </c>
      <c r="D63" s="116">
        <f t="shared" si="24"/>
        <v>3559.3512487513526</v>
      </c>
      <c r="E63" s="116">
        <f t="shared" si="24"/>
        <v>3065.4245097100388</v>
      </c>
      <c r="F63" s="24">
        <f>'[7]TS BYDem'!$J17</f>
        <v>3.5593512487513528</v>
      </c>
      <c r="G63" s="96">
        <f>'[7]TS BYDem'!$O17</f>
        <v>3.0654245097100388</v>
      </c>
      <c r="J63" s="95"/>
      <c r="K63" s="96"/>
    </row>
    <row r="64" spans="1:48">
      <c r="A64" s="4" t="s">
        <v>17</v>
      </c>
      <c r="B64" s="128" t="s">
        <v>0</v>
      </c>
      <c r="C64" s="128" t="s">
        <v>120</v>
      </c>
      <c r="D64" s="116">
        <f t="shared" si="24"/>
        <v>18760.184357078931</v>
      </c>
      <c r="E64" s="116">
        <f t="shared" si="24"/>
        <v>16999.241745794043</v>
      </c>
      <c r="F64" s="24">
        <f>'[7]TS BYDem'!$J18</f>
        <v>18.760184357078931</v>
      </c>
      <c r="G64" s="96">
        <f>'[7]TS BYDem'!$O18</f>
        <v>16.999241745794041</v>
      </c>
      <c r="J64" s="95"/>
      <c r="K64" s="96"/>
    </row>
    <row r="65" spans="1:55">
      <c r="A65" s="4" t="s">
        <v>17</v>
      </c>
      <c r="B65" s="98"/>
      <c r="C65" s="98"/>
      <c r="D65" s="98"/>
      <c r="J65" s="95"/>
      <c r="K65" s="96"/>
    </row>
    <row r="66" spans="1:55">
      <c r="A66" s="4" t="s">
        <v>17</v>
      </c>
      <c r="B66" s="98"/>
      <c r="F66" s="267"/>
      <c r="I66" s="181"/>
      <c r="J66" s="118"/>
      <c r="K66" s="96"/>
    </row>
    <row r="67" spans="1:55" ht="15" thickBot="1">
      <c r="A67" s="4" t="s">
        <v>17</v>
      </c>
      <c r="B67" s="178" t="s">
        <v>13</v>
      </c>
      <c r="C67" s="179"/>
      <c r="D67" s="94"/>
      <c r="E67" s="108">
        <v>2012</v>
      </c>
      <c r="F67" s="268">
        <v>2017</v>
      </c>
      <c r="G67" s="108">
        <f>G22</f>
        <v>2020</v>
      </c>
      <c r="H67" s="108">
        <f>H22</f>
        <v>2030</v>
      </c>
      <c r="I67" s="213">
        <f>I22</f>
        <v>2050</v>
      </c>
      <c r="J67" s="108">
        <f t="shared" ref="J67:AV67" si="25">J4</f>
        <v>2012</v>
      </c>
      <c r="K67" s="108">
        <f t="shared" si="25"/>
        <v>2013</v>
      </c>
      <c r="L67" s="108">
        <f t="shared" si="25"/>
        <v>2014</v>
      </c>
      <c r="M67" s="108">
        <f t="shared" si="25"/>
        <v>2015</v>
      </c>
      <c r="N67" s="108">
        <f t="shared" si="25"/>
        <v>2016</v>
      </c>
      <c r="O67" s="108">
        <f t="shared" si="25"/>
        <v>2017</v>
      </c>
      <c r="P67" s="108">
        <f t="shared" si="25"/>
        <v>2018</v>
      </c>
      <c r="Q67" s="108">
        <f t="shared" si="25"/>
        <v>2019</v>
      </c>
      <c r="R67" s="108">
        <f t="shared" si="25"/>
        <v>2020</v>
      </c>
      <c r="S67" s="108">
        <f t="shared" si="25"/>
        <v>2021</v>
      </c>
      <c r="T67" s="108">
        <f t="shared" si="25"/>
        <v>2022</v>
      </c>
      <c r="U67" s="108">
        <f t="shared" si="25"/>
        <v>2023</v>
      </c>
      <c r="V67" s="108">
        <f t="shared" si="25"/>
        <v>2024</v>
      </c>
      <c r="W67" s="108">
        <f t="shared" si="25"/>
        <v>2025</v>
      </c>
      <c r="X67" s="108">
        <f t="shared" si="25"/>
        <v>2026</v>
      </c>
      <c r="Y67" s="108">
        <f t="shared" si="25"/>
        <v>2027</v>
      </c>
      <c r="Z67" s="108">
        <f t="shared" si="25"/>
        <v>2028</v>
      </c>
      <c r="AA67" s="108">
        <f t="shared" si="25"/>
        <v>2029</v>
      </c>
      <c r="AB67" s="108">
        <f t="shared" si="25"/>
        <v>2030</v>
      </c>
      <c r="AC67" s="108">
        <f t="shared" si="25"/>
        <v>2031</v>
      </c>
      <c r="AD67" s="108">
        <f t="shared" si="25"/>
        <v>2032</v>
      </c>
      <c r="AE67" s="108">
        <f t="shared" si="25"/>
        <v>2033</v>
      </c>
      <c r="AF67" s="108">
        <f t="shared" si="25"/>
        <v>2034</v>
      </c>
      <c r="AG67" s="108">
        <f t="shared" si="25"/>
        <v>2035</v>
      </c>
      <c r="AH67" s="108">
        <f t="shared" si="25"/>
        <v>2036</v>
      </c>
      <c r="AI67" s="108">
        <f t="shared" si="25"/>
        <v>2037</v>
      </c>
      <c r="AJ67" s="108">
        <f t="shared" si="25"/>
        <v>2038</v>
      </c>
      <c r="AK67" s="108">
        <f t="shared" si="25"/>
        <v>2039</v>
      </c>
      <c r="AL67" s="108">
        <f t="shared" si="25"/>
        <v>2040</v>
      </c>
      <c r="AM67" s="108">
        <f t="shared" si="25"/>
        <v>2041</v>
      </c>
      <c r="AN67" s="108">
        <f t="shared" si="25"/>
        <v>2042</v>
      </c>
      <c r="AO67" s="108">
        <f t="shared" si="25"/>
        <v>2043</v>
      </c>
      <c r="AP67" s="108">
        <f t="shared" si="25"/>
        <v>2044</v>
      </c>
      <c r="AQ67" s="108">
        <f t="shared" si="25"/>
        <v>2045</v>
      </c>
      <c r="AR67" s="108">
        <f t="shared" si="25"/>
        <v>2046</v>
      </c>
      <c r="AS67" s="108">
        <f t="shared" si="25"/>
        <v>2047</v>
      </c>
      <c r="AT67" s="108">
        <f t="shared" si="25"/>
        <v>2048</v>
      </c>
      <c r="AU67" s="108">
        <f t="shared" si="25"/>
        <v>2049</v>
      </c>
      <c r="AV67" s="108">
        <f t="shared" si="25"/>
        <v>2050</v>
      </c>
      <c r="AY67" s="219" t="s">
        <v>558</v>
      </c>
      <c r="AZ67" s="100"/>
      <c r="BA67" s="100" t="s">
        <v>467</v>
      </c>
      <c r="BB67" s="100"/>
      <c r="BC67" s="100"/>
    </row>
    <row r="68" spans="1:55">
      <c r="A68" s="4" t="s">
        <v>17</v>
      </c>
      <c r="B68" s="118"/>
      <c r="C68" s="118"/>
      <c r="D68" s="118"/>
      <c r="E68" s="118"/>
      <c r="F68" s="118"/>
      <c r="G68" s="118"/>
      <c r="H68" s="118"/>
      <c r="I68" s="181"/>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c r="AY68" s="100"/>
      <c r="AZ68" s="100"/>
      <c r="BA68" s="100"/>
      <c r="BB68" s="100"/>
      <c r="BC68" s="100"/>
    </row>
    <row r="69" spans="1:55" ht="15" thickBot="1">
      <c r="A69" s="4" t="s">
        <v>17</v>
      </c>
      <c r="B69" s="117" t="s">
        <v>75</v>
      </c>
      <c r="C69" s="94"/>
      <c r="D69" s="94"/>
      <c r="E69" s="118"/>
      <c r="F69" s="118"/>
      <c r="G69" s="118"/>
      <c r="H69" s="241">
        <f>VLOOKUP($AZ$75,$AY$70:$BC$73,3)</f>
        <v>0</v>
      </c>
      <c r="I69" s="211"/>
      <c r="J69" s="118"/>
      <c r="K69" s="96"/>
      <c r="AY69" s="219" t="s">
        <v>559</v>
      </c>
      <c r="AZ69" s="100"/>
      <c r="BA69" s="100"/>
      <c r="BB69" s="100"/>
      <c r="BC69" s="100"/>
    </row>
    <row r="70" spans="1:55">
      <c r="A70" s="4" t="s">
        <v>17</v>
      </c>
      <c r="B70" s="176" t="s">
        <v>240</v>
      </c>
      <c r="C70" s="96" t="str">
        <f t="shared" ref="C70:C78" si="26">"Commercial"&amp;" - "&amp;B56</f>
        <v>Commercial - Cooling</v>
      </c>
      <c r="D70" s="96" t="s">
        <v>76</v>
      </c>
      <c r="E70" s="107">
        <f>$D56/J$23</f>
        <v>1051.567060091292</v>
      </c>
      <c r="F70" s="120">
        <f>E56/$O$23</f>
        <v>861.441862053352</v>
      </c>
      <c r="G70" s="120">
        <f t="shared" ref="G70:I78" si="27">F70</f>
        <v>861.441862053352</v>
      </c>
      <c r="H70" s="120">
        <f>G70*(1+$H$69)</f>
        <v>861.441862053352</v>
      </c>
      <c r="I70" s="180">
        <f t="shared" si="27"/>
        <v>861.441862053352</v>
      </c>
      <c r="J70" s="8">
        <f>IF(J$8=-1,K70,IF(J$8=99,I70,IF(J$8=0,INDEX($E70:$I70,0,J$6),(INDEX($E70:$I70,0,J$8+1)-INDEX($E70:$I70,0,J$8))/(INDEX($D$5:$H$5,0,J$8+1)-INDEX($D$5:$H$5,0,J$8))+I70)))</f>
        <v>1051.567060091292</v>
      </c>
      <c r="K70" s="8">
        <f>IF(K$8=-1,L70,IF(K$8=99,J70,IF(K$8=0,INDEX($E70:$I70,0,K$6),(INDEX($E70:$I70,0,K$8+1)-INDEX($E70:$I70,0,K$8))/(INDEX($D$5:$H$5,0,K$8+1)-INDEX($D$5:$H$5,0,K$8))+J70)))</f>
        <v>1013.5420204837039</v>
      </c>
      <c r="L70" s="8">
        <f t="shared" ref="L70:AV70" si="28">IF(L$8=-1,M70,IF(L$8=99,K70,IF(L$8=0,INDEX($E70:$I70,0,L$6),(INDEX($E70:$I70,0,L$8+1)-INDEX($E70:$I70,0,L$8))/(INDEX($D$5:$H$5,0,L$8+1)-INDEX($D$5:$H$5,0,L$8))+K70)))</f>
        <v>975.51698087611589</v>
      </c>
      <c r="M70" s="8">
        <f t="shared" si="28"/>
        <v>937.49194126852785</v>
      </c>
      <c r="N70" s="8">
        <f t="shared" si="28"/>
        <v>899.46690166093981</v>
      </c>
      <c r="O70" s="8">
        <f t="shared" si="28"/>
        <v>861.441862053352</v>
      </c>
      <c r="P70" s="8">
        <f t="shared" si="28"/>
        <v>861.441862053352</v>
      </c>
      <c r="Q70" s="8">
        <f t="shared" si="28"/>
        <v>861.441862053352</v>
      </c>
      <c r="R70" s="8">
        <f t="shared" si="28"/>
        <v>861.441862053352</v>
      </c>
      <c r="S70" s="8">
        <f t="shared" si="28"/>
        <v>861.441862053352</v>
      </c>
      <c r="T70" s="8">
        <f t="shared" si="28"/>
        <v>861.441862053352</v>
      </c>
      <c r="U70" s="8">
        <f t="shared" si="28"/>
        <v>861.441862053352</v>
      </c>
      <c r="V70" s="8">
        <f t="shared" si="28"/>
        <v>861.441862053352</v>
      </c>
      <c r="W70" s="8">
        <f t="shared" si="28"/>
        <v>861.441862053352</v>
      </c>
      <c r="X70" s="8">
        <f t="shared" si="28"/>
        <v>861.441862053352</v>
      </c>
      <c r="Y70" s="8">
        <f t="shared" si="28"/>
        <v>861.441862053352</v>
      </c>
      <c r="Z70" s="8">
        <f t="shared" si="28"/>
        <v>861.441862053352</v>
      </c>
      <c r="AA70" s="8">
        <f t="shared" si="28"/>
        <v>861.441862053352</v>
      </c>
      <c r="AB70" s="8">
        <f t="shared" si="28"/>
        <v>861.441862053352</v>
      </c>
      <c r="AC70" s="8">
        <f t="shared" si="28"/>
        <v>861.441862053352</v>
      </c>
      <c r="AD70" s="8">
        <f t="shared" si="28"/>
        <v>861.441862053352</v>
      </c>
      <c r="AE70" s="8">
        <f t="shared" si="28"/>
        <v>861.441862053352</v>
      </c>
      <c r="AF70" s="8">
        <f t="shared" si="28"/>
        <v>861.441862053352</v>
      </c>
      <c r="AG70" s="8">
        <f t="shared" si="28"/>
        <v>861.441862053352</v>
      </c>
      <c r="AH70" s="8">
        <f t="shared" si="28"/>
        <v>861.441862053352</v>
      </c>
      <c r="AI70" s="8">
        <f t="shared" si="28"/>
        <v>861.441862053352</v>
      </c>
      <c r="AJ70" s="8">
        <f t="shared" si="28"/>
        <v>861.441862053352</v>
      </c>
      <c r="AK70" s="8">
        <f t="shared" si="28"/>
        <v>861.441862053352</v>
      </c>
      <c r="AL70" s="8">
        <f t="shared" si="28"/>
        <v>861.441862053352</v>
      </c>
      <c r="AM70" s="8">
        <f t="shared" si="28"/>
        <v>861.441862053352</v>
      </c>
      <c r="AN70" s="8">
        <f t="shared" si="28"/>
        <v>861.441862053352</v>
      </c>
      <c r="AO70" s="8">
        <f t="shared" si="28"/>
        <v>861.441862053352</v>
      </c>
      <c r="AP70" s="8">
        <f t="shared" si="28"/>
        <v>861.441862053352</v>
      </c>
      <c r="AQ70" s="8">
        <f t="shared" si="28"/>
        <v>861.441862053352</v>
      </c>
      <c r="AR70" s="8">
        <f t="shared" si="28"/>
        <v>861.441862053352</v>
      </c>
      <c r="AS70" s="8">
        <f t="shared" si="28"/>
        <v>861.441862053352</v>
      </c>
      <c r="AT70" s="8">
        <f t="shared" si="28"/>
        <v>861.441862053352</v>
      </c>
      <c r="AU70" s="8">
        <f t="shared" si="28"/>
        <v>861.441862053352</v>
      </c>
      <c r="AV70" s="8">
        <f t="shared" si="28"/>
        <v>861.441862053352</v>
      </c>
      <c r="AY70" s="100">
        <v>-1</v>
      </c>
      <c r="AZ70" s="219" t="s">
        <v>560</v>
      </c>
      <c r="BA70" s="100"/>
      <c r="BB70" s="100"/>
      <c r="BC70" s="100"/>
    </row>
    <row r="71" spans="1:55">
      <c r="A71" s="4" t="s">
        <v>17</v>
      </c>
      <c r="B71" s="176" t="s">
        <v>241</v>
      </c>
      <c r="C71" s="96" t="str">
        <f t="shared" si="26"/>
        <v>Commercial - Space Heating</v>
      </c>
      <c r="D71" s="96" t="s">
        <v>76</v>
      </c>
      <c r="E71" s="107">
        <f t="shared" ref="E71:E75" si="29">$D57/J$23</f>
        <v>59.117764859369188</v>
      </c>
      <c r="F71" s="120">
        <f t="shared" ref="F71:F78" si="30">E57/$O$23</f>
        <v>82.152555943357399</v>
      </c>
      <c r="G71" s="120">
        <f t="shared" si="27"/>
        <v>82.152555943357399</v>
      </c>
      <c r="H71" s="120">
        <f t="shared" ref="H71:H78" si="31">G71*(1+$H$69)</f>
        <v>82.152555943357399</v>
      </c>
      <c r="I71" s="180">
        <f t="shared" si="27"/>
        <v>82.152555943357399</v>
      </c>
      <c r="J71" s="8">
        <f t="shared" ref="J71:AV77" si="32">IF(J$8=-1,K71,IF(J$8=99,I71,IF(J$8=0,INDEX($E71:$I71,0,J$6),(INDEX($E71:$I71,0,J$8+1)-INDEX($E71:$I71,0,J$8))/(INDEX($D$5:$H$5,0,J$8+1)-INDEX($D$5:$H$5,0,J$8))+I71)))</f>
        <v>59.117764859369188</v>
      </c>
      <c r="K71" s="8">
        <f t="shared" si="32"/>
        <v>63.724723076166832</v>
      </c>
      <c r="L71" s="8">
        <f t="shared" si="32"/>
        <v>68.331681292964475</v>
      </c>
      <c r="M71" s="8">
        <f t="shared" si="32"/>
        <v>72.938639509762112</v>
      </c>
      <c r="N71" s="8">
        <f t="shared" si="32"/>
        <v>77.545597726559748</v>
      </c>
      <c r="O71" s="8">
        <f t="shared" si="32"/>
        <v>82.152555943357399</v>
      </c>
      <c r="P71" s="8">
        <f t="shared" si="32"/>
        <v>82.152555943357399</v>
      </c>
      <c r="Q71" s="8">
        <f t="shared" si="32"/>
        <v>82.152555943357399</v>
      </c>
      <c r="R71" s="8">
        <f t="shared" si="32"/>
        <v>82.152555943357399</v>
      </c>
      <c r="S71" s="8">
        <f t="shared" si="32"/>
        <v>82.152555943357399</v>
      </c>
      <c r="T71" s="8">
        <f t="shared" si="32"/>
        <v>82.152555943357399</v>
      </c>
      <c r="U71" s="8">
        <f t="shared" si="32"/>
        <v>82.152555943357399</v>
      </c>
      <c r="V71" s="8">
        <f t="shared" si="32"/>
        <v>82.152555943357399</v>
      </c>
      <c r="W71" s="8">
        <f t="shared" si="32"/>
        <v>82.152555943357399</v>
      </c>
      <c r="X71" s="8">
        <f t="shared" si="32"/>
        <v>82.152555943357399</v>
      </c>
      <c r="Y71" s="8">
        <f t="shared" si="32"/>
        <v>82.152555943357399</v>
      </c>
      <c r="Z71" s="8">
        <f t="shared" si="32"/>
        <v>82.152555943357399</v>
      </c>
      <c r="AA71" s="8">
        <f t="shared" si="32"/>
        <v>82.152555943357399</v>
      </c>
      <c r="AB71" s="8">
        <f t="shared" si="32"/>
        <v>82.152555943357399</v>
      </c>
      <c r="AC71" s="8">
        <f t="shared" si="32"/>
        <v>82.152555943357399</v>
      </c>
      <c r="AD71" s="8">
        <f t="shared" si="32"/>
        <v>82.152555943357399</v>
      </c>
      <c r="AE71" s="8">
        <f t="shared" si="32"/>
        <v>82.152555943357399</v>
      </c>
      <c r="AF71" s="8">
        <f t="shared" si="32"/>
        <v>82.152555943357399</v>
      </c>
      <c r="AG71" s="8">
        <f t="shared" si="32"/>
        <v>82.152555943357399</v>
      </c>
      <c r="AH71" s="8">
        <f t="shared" si="32"/>
        <v>82.152555943357399</v>
      </c>
      <c r="AI71" s="8">
        <f t="shared" si="32"/>
        <v>82.152555943357399</v>
      </c>
      <c r="AJ71" s="8">
        <f t="shared" si="32"/>
        <v>82.152555943357399</v>
      </c>
      <c r="AK71" s="8">
        <f t="shared" si="32"/>
        <v>82.152555943357399</v>
      </c>
      <c r="AL71" s="8">
        <f t="shared" si="32"/>
        <v>82.152555943357399</v>
      </c>
      <c r="AM71" s="8">
        <f t="shared" si="32"/>
        <v>82.152555943357399</v>
      </c>
      <c r="AN71" s="8">
        <f t="shared" si="32"/>
        <v>82.152555943357399</v>
      </c>
      <c r="AO71" s="8">
        <f t="shared" si="32"/>
        <v>82.152555943357399</v>
      </c>
      <c r="AP71" s="8">
        <f t="shared" si="32"/>
        <v>82.152555943357399</v>
      </c>
      <c r="AQ71" s="8">
        <f t="shared" si="32"/>
        <v>82.152555943357399</v>
      </c>
      <c r="AR71" s="8">
        <f t="shared" si="32"/>
        <v>82.152555943357399</v>
      </c>
      <c r="AS71" s="8">
        <f t="shared" si="32"/>
        <v>82.152555943357399</v>
      </c>
      <c r="AT71" s="8">
        <f t="shared" si="32"/>
        <v>82.152555943357399</v>
      </c>
      <c r="AU71" s="8">
        <f t="shared" si="32"/>
        <v>82.152555943357399</v>
      </c>
      <c r="AV71" s="8">
        <f t="shared" si="32"/>
        <v>82.152555943357399</v>
      </c>
      <c r="AY71" s="100">
        <v>1</v>
      </c>
      <c r="AZ71" s="219" t="s">
        <v>561</v>
      </c>
      <c r="BA71" s="220">
        <v>-0.37</v>
      </c>
      <c r="BB71" s="100"/>
      <c r="BC71" s="100"/>
    </row>
    <row r="72" spans="1:55">
      <c r="A72" s="4" t="s">
        <v>17</v>
      </c>
      <c r="B72" s="176" t="s">
        <v>242</v>
      </c>
      <c r="C72" s="96" t="str">
        <f t="shared" si="26"/>
        <v>Commercial - Cooking</v>
      </c>
      <c r="D72" s="96" t="s">
        <v>76</v>
      </c>
      <c r="E72" s="107">
        <f t="shared" si="29"/>
        <v>74.498085701673531</v>
      </c>
      <c r="F72" s="120">
        <f t="shared" si="30"/>
        <v>61.445903944690194</v>
      </c>
      <c r="G72" s="120">
        <f t="shared" si="27"/>
        <v>61.445903944690194</v>
      </c>
      <c r="H72" s="120">
        <f t="shared" si="31"/>
        <v>61.445903944690194</v>
      </c>
      <c r="I72" s="180">
        <f t="shared" si="27"/>
        <v>61.445903944690194</v>
      </c>
      <c r="J72" s="8">
        <f t="shared" si="32"/>
        <v>74.498085701673531</v>
      </c>
      <c r="K72" s="8">
        <f t="shared" si="32"/>
        <v>71.88764935027686</v>
      </c>
      <c r="L72" s="8">
        <f t="shared" si="32"/>
        <v>69.277212998880188</v>
      </c>
      <c r="M72" s="8">
        <f t="shared" si="32"/>
        <v>66.666776647483516</v>
      </c>
      <c r="N72" s="8">
        <f t="shared" si="32"/>
        <v>64.056340296086844</v>
      </c>
      <c r="O72" s="8">
        <f t="shared" si="32"/>
        <v>61.445903944690194</v>
      </c>
      <c r="P72" s="8">
        <f t="shared" si="32"/>
        <v>61.445903944690194</v>
      </c>
      <c r="Q72" s="8">
        <f t="shared" si="32"/>
        <v>61.445903944690194</v>
      </c>
      <c r="R72" s="8">
        <f t="shared" si="32"/>
        <v>61.445903944690194</v>
      </c>
      <c r="S72" s="8">
        <f t="shared" si="32"/>
        <v>61.445903944690194</v>
      </c>
      <c r="T72" s="8">
        <f t="shared" si="32"/>
        <v>61.445903944690194</v>
      </c>
      <c r="U72" s="8">
        <f t="shared" si="32"/>
        <v>61.445903944690194</v>
      </c>
      <c r="V72" s="8">
        <f t="shared" si="32"/>
        <v>61.445903944690194</v>
      </c>
      <c r="W72" s="8">
        <f t="shared" si="32"/>
        <v>61.445903944690194</v>
      </c>
      <c r="X72" s="8">
        <f t="shared" si="32"/>
        <v>61.445903944690194</v>
      </c>
      <c r="Y72" s="8">
        <f t="shared" si="32"/>
        <v>61.445903944690194</v>
      </c>
      <c r="Z72" s="8">
        <f t="shared" si="32"/>
        <v>61.445903944690194</v>
      </c>
      <c r="AA72" s="8">
        <f t="shared" si="32"/>
        <v>61.445903944690194</v>
      </c>
      <c r="AB72" s="8">
        <f t="shared" si="32"/>
        <v>61.445903944690194</v>
      </c>
      <c r="AC72" s="8">
        <f t="shared" si="32"/>
        <v>61.445903944690194</v>
      </c>
      <c r="AD72" s="8">
        <f t="shared" si="32"/>
        <v>61.445903944690194</v>
      </c>
      <c r="AE72" s="8">
        <f t="shared" si="32"/>
        <v>61.445903944690194</v>
      </c>
      <c r="AF72" s="8">
        <f t="shared" si="32"/>
        <v>61.445903944690194</v>
      </c>
      <c r="AG72" s="8">
        <f t="shared" si="32"/>
        <v>61.445903944690194</v>
      </c>
      <c r="AH72" s="8">
        <f t="shared" si="32"/>
        <v>61.445903944690194</v>
      </c>
      <c r="AI72" s="8">
        <f t="shared" si="32"/>
        <v>61.445903944690194</v>
      </c>
      <c r="AJ72" s="8">
        <f t="shared" si="32"/>
        <v>61.445903944690194</v>
      </c>
      <c r="AK72" s="8">
        <f t="shared" si="32"/>
        <v>61.445903944690194</v>
      </c>
      <c r="AL72" s="8">
        <f t="shared" si="32"/>
        <v>61.445903944690194</v>
      </c>
      <c r="AM72" s="8">
        <f t="shared" si="32"/>
        <v>61.445903944690194</v>
      </c>
      <c r="AN72" s="8">
        <f t="shared" si="32"/>
        <v>61.445903944690194</v>
      </c>
      <c r="AO72" s="8">
        <f t="shared" si="32"/>
        <v>61.445903944690194</v>
      </c>
      <c r="AP72" s="8">
        <f t="shared" si="32"/>
        <v>61.445903944690194</v>
      </c>
      <c r="AQ72" s="8">
        <f t="shared" si="32"/>
        <v>61.445903944690194</v>
      </c>
      <c r="AR72" s="8">
        <f t="shared" si="32"/>
        <v>61.445903944690194</v>
      </c>
      <c r="AS72" s="8">
        <f t="shared" si="32"/>
        <v>61.445903944690194</v>
      </c>
      <c r="AT72" s="8">
        <f t="shared" si="32"/>
        <v>61.445903944690194</v>
      </c>
      <c r="AU72" s="8">
        <f t="shared" si="32"/>
        <v>61.445903944690194</v>
      </c>
      <c r="AV72" s="8">
        <f t="shared" si="32"/>
        <v>61.445903944690194</v>
      </c>
      <c r="AY72" s="100">
        <v>2</v>
      </c>
      <c r="AZ72" s="219" t="s">
        <v>562</v>
      </c>
      <c r="BA72" s="100"/>
      <c r="BB72" s="220">
        <v>-0.5</v>
      </c>
      <c r="BC72" s="220">
        <v>-0.2</v>
      </c>
    </row>
    <row r="73" spans="1:55">
      <c r="A73" s="4" t="s">
        <v>17</v>
      </c>
      <c r="B73" s="176" t="s">
        <v>243</v>
      </c>
      <c r="C73" s="96" t="str">
        <f t="shared" si="26"/>
        <v>Commercial - Lighting</v>
      </c>
      <c r="D73" s="96" t="s">
        <v>76</v>
      </c>
      <c r="E73" s="107">
        <f t="shared" si="29"/>
        <v>915.10615144128838</v>
      </c>
      <c r="F73" s="120">
        <f t="shared" si="30"/>
        <v>749.65332881920335</v>
      </c>
      <c r="G73" s="120">
        <f t="shared" si="27"/>
        <v>749.65332881920335</v>
      </c>
      <c r="H73" s="120">
        <f t="shared" si="31"/>
        <v>749.65332881920335</v>
      </c>
      <c r="I73" s="180">
        <f t="shared" si="27"/>
        <v>749.65332881920335</v>
      </c>
      <c r="J73" s="8">
        <f t="shared" si="32"/>
        <v>915.10615144128838</v>
      </c>
      <c r="K73" s="8">
        <f t="shared" si="32"/>
        <v>882.01558691687137</v>
      </c>
      <c r="L73" s="8">
        <f t="shared" si="32"/>
        <v>848.92502239245437</v>
      </c>
      <c r="M73" s="8">
        <f t="shared" si="32"/>
        <v>815.83445786803736</v>
      </c>
      <c r="N73" s="8">
        <f t="shared" si="32"/>
        <v>782.74389334362036</v>
      </c>
      <c r="O73" s="8">
        <f t="shared" si="32"/>
        <v>749.65332881920335</v>
      </c>
      <c r="P73" s="8">
        <f t="shared" si="32"/>
        <v>749.65332881920335</v>
      </c>
      <c r="Q73" s="8">
        <f t="shared" si="32"/>
        <v>749.65332881920335</v>
      </c>
      <c r="R73" s="8">
        <f t="shared" si="32"/>
        <v>749.65332881920335</v>
      </c>
      <c r="S73" s="8">
        <f t="shared" si="32"/>
        <v>749.65332881920335</v>
      </c>
      <c r="T73" s="8">
        <f t="shared" si="32"/>
        <v>749.65332881920335</v>
      </c>
      <c r="U73" s="8">
        <f t="shared" si="32"/>
        <v>749.65332881920335</v>
      </c>
      <c r="V73" s="8">
        <f t="shared" si="32"/>
        <v>749.65332881920335</v>
      </c>
      <c r="W73" s="8">
        <f t="shared" si="32"/>
        <v>749.65332881920335</v>
      </c>
      <c r="X73" s="8">
        <f t="shared" si="32"/>
        <v>749.65332881920335</v>
      </c>
      <c r="Y73" s="8">
        <f t="shared" si="32"/>
        <v>749.65332881920335</v>
      </c>
      <c r="Z73" s="8">
        <f t="shared" si="32"/>
        <v>749.65332881920335</v>
      </c>
      <c r="AA73" s="8">
        <f t="shared" si="32"/>
        <v>749.65332881920335</v>
      </c>
      <c r="AB73" s="8">
        <f t="shared" si="32"/>
        <v>749.65332881920335</v>
      </c>
      <c r="AC73" s="8">
        <f t="shared" si="32"/>
        <v>749.65332881920335</v>
      </c>
      <c r="AD73" s="8">
        <f t="shared" si="32"/>
        <v>749.65332881920335</v>
      </c>
      <c r="AE73" s="8">
        <f t="shared" si="32"/>
        <v>749.65332881920335</v>
      </c>
      <c r="AF73" s="8">
        <f t="shared" si="32"/>
        <v>749.65332881920335</v>
      </c>
      <c r="AG73" s="8">
        <f t="shared" si="32"/>
        <v>749.65332881920335</v>
      </c>
      <c r="AH73" s="8">
        <f t="shared" si="32"/>
        <v>749.65332881920335</v>
      </c>
      <c r="AI73" s="8">
        <f t="shared" si="32"/>
        <v>749.65332881920335</v>
      </c>
      <c r="AJ73" s="8">
        <f t="shared" si="32"/>
        <v>749.65332881920335</v>
      </c>
      <c r="AK73" s="8">
        <f t="shared" si="32"/>
        <v>749.65332881920335</v>
      </c>
      <c r="AL73" s="8">
        <f t="shared" si="32"/>
        <v>749.65332881920335</v>
      </c>
      <c r="AM73" s="8">
        <f t="shared" si="32"/>
        <v>749.65332881920335</v>
      </c>
      <c r="AN73" s="8">
        <f t="shared" si="32"/>
        <v>749.65332881920335</v>
      </c>
      <c r="AO73" s="8">
        <f t="shared" si="32"/>
        <v>749.65332881920335</v>
      </c>
      <c r="AP73" s="8">
        <f t="shared" si="32"/>
        <v>749.65332881920335</v>
      </c>
      <c r="AQ73" s="8">
        <f t="shared" si="32"/>
        <v>749.65332881920335</v>
      </c>
      <c r="AR73" s="8">
        <f t="shared" si="32"/>
        <v>749.65332881920335</v>
      </c>
      <c r="AS73" s="8">
        <f t="shared" si="32"/>
        <v>749.65332881920335</v>
      </c>
      <c r="AT73" s="8">
        <f t="shared" si="32"/>
        <v>749.65332881920335</v>
      </c>
      <c r="AU73" s="8">
        <f t="shared" si="32"/>
        <v>749.65332881920335</v>
      </c>
      <c r="AV73" s="8">
        <f t="shared" si="32"/>
        <v>749.65332881920335</v>
      </c>
      <c r="AY73" s="100">
        <v>3</v>
      </c>
      <c r="AZ73" s="219" t="s">
        <v>563</v>
      </c>
      <c r="BA73" s="220">
        <v>-0.37</v>
      </c>
      <c r="BB73" s="220">
        <v>-0.5</v>
      </c>
      <c r="BC73" s="220">
        <v>-0.2</v>
      </c>
    </row>
    <row r="74" spans="1:55">
      <c r="A74" s="4" t="s">
        <v>17</v>
      </c>
      <c r="B74" s="176" t="s">
        <v>244</v>
      </c>
      <c r="C74" s="96" t="str">
        <f t="shared" si="26"/>
        <v>Commercial - Refrigeration</v>
      </c>
      <c r="D74" s="96" t="s">
        <v>76</v>
      </c>
      <c r="E74" s="107">
        <f t="shared" si="29"/>
        <v>222.61251585750318</v>
      </c>
      <c r="F74" s="120">
        <f t="shared" si="30"/>
        <v>182.3637763625085</v>
      </c>
      <c r="G74" s="120">
        <f t="shared" si="27"/>
        <v>182.3637763625085</v>
      </c>
      <c r="H74" s="120">
        <f t="shared" si="31"/>
        <v>182.3637763625085</v>
      </c>
      <c r="I74" s="180">
        <f t="shared" si="27"/>
        <v>182.3637763625085</v>
      </c>
      <c r="J74" s="8">
        <f t="shared" si="32"/>
        <v>222.61251585750318</v>
      </c>
      <c r="K74" s="8">
        <f t="shared" si="32"/>
        <v>214.56276795850425</v>
      </c>
      <c r="L74" s="8">
        <f t="shared" si="32"/>
        <v>206.51302005950532</v>
      </c>
      <c r="M74" s="8">
        <f t="shared" si="32"/>
        <v>198.46327216050639</v>
      </c>
      <c r="N74" s="8">
        <f t="shared" si="32"/>
        <v>190.41352426150746</v>
      </c>
      <c r="O74" s="8">
        <f t="shared" si="32"/>
        <v>182.3637763625085</v>
      </c>
      <c r="P74" s="8">
        <f t="shared" si="32"/>
        <v>182.3637763625085</v>
      </c>
      <c r="Q74" s="8">
        <f t="shared" si="32"/>
        <v>182.3637763625085</v>
      </c>
      <c r="R74" s="8">
        <f t="shared" si="32"/>
        <v>182.3637763625085</v>
      </c>
      <c r="S74" s="8">
        <f t="shared" si="32"/>
        <v>182.3637763625085</v>
      </c>
      <c r="T74" s="8">
        <f t="shared" si="32"/>
        <v>182.3637763625085</v>
      </c>
      <c r="U74" s="8">
        <f t="shared" si="32"/>
        <v>182.3637763625085</v>
      </c>
      <c r="V74" s="8">
        <f t="shared" si="32"/>
        <v>182.3637763625085</v>
      </c>
      <c r="W74" s="8">
        <f t="shared" si="32"/>
        <v>182.3637763625085</v>
      </c>
      <c r="X74" s="8">
        <f t="shared" si="32"/>
        <v>182.3637763625085</v>
      </c>
      <c r="Y74" s="8">
        <f t="shared" si="32"/>
        <v>182.3637763625085</v>
      </c>
      <c r="Z74" s="8">
        <f t="shared" si="32"/>
        <v>182.3637763625085</v>
      </c>
      <c r="AA74" s="8">
        <f t="shared" si="32"/>
        <v>182.3637763625085</v>
      </c>
      <c r="AB74" s="8">
        <f t="shared" si="32"/>
        <v>182.3637763625085</v>
      </c>
      <c r="AC74" s="8">
        <f t="shared" si="32"/>
        <v>182.3637763625085</v>
      </c>
      <c r="AD74" s="8">
        <f t="shared" si="32"/>
        <v>182.3637763625085</v>
      </c>
      <c r="AE74" s="8">
        <f t="shared" si="32"/>
        <v>182.3637763625085</v>
      </c>
      <c r="AF74" s="8">
        <f t="shared" si="32"/>
        <v>182.3637763625085</v>
      </c>
      <c r="AG74" s="8">
        <f t="shared" si="32"/>
        <v>182.3637763625085</v>
      </c>
      <c r="AH74" s="8">
        <f t="shared" si="32"/>
        <v>182.3637763625085</v>
      </c>
      <c r="AI74" s="8">
        <f t="shared" si="32"/>
        <v>182.3637763625085</v>
      </c>
      <c r="AJ74" s="8">
        <f t="shared" si="32"/>
        <v>182.3637763625085</v>
      </c>
      <c r="AK74" s="8">
        <f t="shared" si="32"/>
        <v>182.3637763625085</v>
      </c>
      <c r="AL74" s="8">
        <f t="shared" si="32"/>
        <v>182.3637763625085</v>
      </c>
      <c r="AM74" s="8">
        <f t="shared" si="32"/>
        <v>182.3637763625085</v>
      </c>
      <c r="AN74" s="8">
        <f t="shared" si="32"/>
        <v>182.3637763625085</v>
      </c>
      <c r="AO74" s="8">
        <f t="shared" si="32"/>
        <v>182.3637763625085</v>
      </c>
      <c r="AP74" s="8">
        <f t="shared" si="32"/>
        <v>182.3637763625085</v>
      </c>
      <c r="AQ74" s="8">
        <f t="shared" si="32"/>
        <v>182.3637763625085</v>
      </c>
      <c r="AR74" s="8">
        <f t="shared" si="32"/>
        <v>182.3637763625085</v>
      </c>
      <c r="AS74" s="8">
        <f t="shared" si="32"/>
        <v>182.3637763625085</v>
      </c>
      <c r="AT74" s="8">
        <f t="shared" si="32"/>
        <v>182.3637763625085</v>
      </c>
      <c r="AU74" s="8">
        <f t="shared" si="32"/>
        <v>182.3637763625085</v>
      </c>
      <c r="AV74" s="8">
        <f t="shared" si="32"/>
        <v>182.3637763625085</v>
      </c>
      <c r="AY74" s="100"/>
      <c r="AZ74" s="100"/>
      <c r="BA74" s="100"/>
      <c r="BB74" s="100"/>
      <c r="BC74" s="100"/>
    </row>
    <row r="75" spans="1:55">
      <c r="A75" s="4" t="s">
        <v>17</v>
      </c>
      <c r="B75" s="176" t="s">
        <v>245</v>
      </c>
      <c r="C75" s="96" t="str">
        <f t="shared" si="26"/>
        <v>Commercial - Water Heating</v>
      </c>
      <c r="D75" s="96" t="s">
        <v>76</v>
      </c>
      <c r="E75" s="107">
        <f t="shared" si="29"/>
        <v>72.906473658117989</v>
      </c>
      <c r="F75" s="120">
        <f t="shared" si="30"/>
        <v>95.064371557095555</v>
      </c>
      <c r="G75" s="120">
        <f t="shared" si="27"/>
        <v>95.064371557095555</v>
      </c>
      <c r="H75" s="120">
        <f t="shared" si="31"/>
        <v>95.064371557095555</v>
      </c>
      <c r="I75" s="180">
        <f t="shared" si="27"/>
        <v>95.064371557095555</v>
      </c>
      <c r="J75" s="8">
        <f t="shared" si="32"/>
        <v>72.906473658117989</v>
      </c>
      <c r="K75" s="8">
        <f t="shared" si="32"/>
        <v>77.338053237913499</v>
      </c>
      <c r="L75" s="8">
        <f t="shared" si="32"/>
        <v>81.769632817709009</v>
      </c>
      <c r="M75" s="8">
        <f t="shared" si="32"/>
        <v>86.20121239750452</v>
      </c>
      <c r="N75" s="8">
        <f t="shared" si="32"/>
        <v>90.63279197730003</v>
      </c>
      <c r="O75" s="8">
        <f t="shared" si="32"/>
        <v>95.064371557095555</v>
      </c>
      <c r="P75" s="8">
        <f t="shared" si="32"/>
        <v>95.064371557095555</v>
      </c>
      <c r="Q75" s="8">
        <f t="shared" si="32"/>
        <v>95.064371557095555</v>
      </c>
      <c r="R75" s="8">
        <f t="shared" si="32"/>
        <v>95.064371557095555</v>
      </c>
      <c r="S75" s="8">
        <f t="shared" si="32"/>
        <v>95.064371557095555</v>
      </c>
      <c r="T75" s="8">
        <f t="shared" si="32"/>
        <v>95.064371557095555</v>
      </c>
      <c r="U75" s="8">
        <f t="shared" si="32"/>
        <v>95.064371557095555</v>
      </c>
      <c r="V75" s="8">
        <f t="shared" si="32"/>
        <v>95.064371557095555</v>
      </c>
      <c r="W75" s="8">
        <f t="shared" si="32"/>
        <v>95.064371557095555</v>
      </c>
      <c r="X75" s="8">
        <f t="shared" si="32"/>
        <v>95.064371557095555</v>
      </c>
      <c r="Y75" s="8">
        <f t="shared" si="32"/>
        <v>95.064371557095555</v>
      </c>
      <c r="Z75" s="8">
        <f t="shared" si="32"/>
        <v>95.064371557095555</v>
      </c>
      <c r="AA75" s="8">
        <f t="shared" si="32"/>
        <v>95.064371557095555</v>
      </c>
      <c r="AB75" s="8">
        <f t="shared" si="32"/>
        <v>95.064371557095555</v>
      </c>
      <c r="AC75" s="8">
        <f t="shared" si="32"/>
        <v>95.064371557095555</v>
      </c>
      <c r="AD75" s="8">
        <f t="shared" si="32"/>
        <v>95.064371557095555</v>
      </c>
      <c r="AE75" s="8">
        <f t="shared" si="32"/>
        <v>95.064371557095555</v>
      </c>
      <c r="AF75" s="8">
        <f t="shared" si="32"/>
        <v>95.064371557095555</v>
      </c>
      <c r="AG75" s="8">
        <f t="shared" si="32"/>
        <v>95.064371557095555</v>
      </c>
      <c r="AH75" s="8">
        <f t="shared" si="32"/>
        <v>95.064371557095555</v>
      </c>
      <c r="AI75" s="8">
        <f t="shared" si="32"/>
        <v>95.064371557095555</v>
      </c>
      <c r="AJ75" s="8">
        <f t="shared" si="32"/>
        <v>95.064371557095555</v>
      </c>
      <c r="AK75" s="8">
        <f t="shared" si="32"/>
        <v>95.064371557095555</v>
      </c>
      <c r="AL75" s="8">
        <f t="shared" si="32"/>
        <v>95.064371557095555</v>
      </c>
      <c r="AM75" s="8">
        <f t="shared" si="32"/>
        <v>95.064371557095555</v>
      </c>
      <c r="AN75" s="8">
        <f t="shared" si="32"/>
        <v>95.064371557095555</v>
      </c>
      <c r="AO75" s="8">
        <f t="shared" si="32"/>
        <v>95.064371557095555</v>
      </c>
      <c r="AP75" s="8">
        <f t="shared" si="32"/>
        <v>95.064371557095555</v>
      </c>
      <c r="AQ75" s="8">
        <f t="shared" si="32"/>
        <v>95.064371557095555</v>
      </c>
      <c r="AR75" s="8">
        <f t="shared" si="32"/>
        <v>95.064371557095555</v>
      </c>
      <c r="AS75" s="8">
        <f t="shared" si="32"/>
        <v>95.064371557095555</v>
      </c>
      <c r="AT75" s="8">
        <f t="shared" si="32"/>
        <v>95.064371557095555</v>
      </c>
      <c r="AU75" s="8">
        <f t="shared" si="32"/>
        <v>95.064371557095555</v>
      </c>
      <c r="AV75" s="8">
        <f t="shared" si="32"/>
        <v>95.064371557095555</v>
      </c>
      <c r="AY75" s="219" t="s">
        <v>564</v>
      </c>
      <c r="AZ75" s="100">
        <f>MCDrivers!$B$181</f>
        <v>-1</v>
      </c>
      <c r="BA75" s="100"/>
      <c r="BB75" s="100"/>
      <c r="BC75" s="100"/>
    </row>
    <row r="76" spans="1:55">
      <c r="A76" s="4" t="s">
        <v>17</v>
      </c>
      <c r="B76" s="176" t="s">
        <v>246</v>
      </c>
      <c r="C76" s="124" t="str">
        <f t="shared" si="26"/>
        <v>Commercial - Public lights</v>
      </c>
      <c r="D76" s="124" t="s">
        <v>76</v>
      </c>
      <c r="E76" s="206">
        <v>0</v>
      </c>
      <c r="F76" s="120">
        <v>0</v>
      </c>
      <c r="G76" s="207">
        <f t="shared" si="27"/>
        <v>0</v>
      </c>
      <c r="H76" s="120">
        <f t="shared" si="31"/>
        <v>0</v>
      </c>
      <c r="I76" s="208">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32"/>
        <v>0</v>
      </c>
      <c r="AA76" s="8">
        <f t="shared" si="32"/>
        <v>0</v>
      </c>
      <c r="AB76" s="8">
        <f t="shared" si="32"/>
        <v>0</v>
      </c>
      <c r="AC76" s="8">
        <f t="shared" si="32"/>
        <v>0</v>
      </c>
      <c r="AD76" s="8">
        <f t="shared" si="32"/>
        <v>0</v>
      </c>
      <c r="AE76" s="8">
        <f t="shared" si="32"/>
        <v>0</v>
      </c>
      <c r="AF76" s="8">
        <f t="shared" si="32"/>
        <v>0</v>
      </c>
      <c r="AG76" s="8">
        <f t="shared" si="32"/>
        <v>0</v>
      </c>
      <c r="AH76" s="8">
        <f t="shared" si="32"/>
        <v>0</v>
      </c>
      <c r="AI76" s="8">
        <f t="shared" si="32"/>
        <v>0</v>
      </c>
      <c r="AJ76" s="8">
        <f t="shared" si="32"/>
        <v>0</v>
      </c>
      <c r="AK76" s="8">
        <f t="shared" si="32"/>
        <v>0</v>
      </c>
      <c r="AL76" s="8">
        <f t="shared" si="32"/>
        <v>0</v>
      </c>
      <c r="AM76" s="8">
        <f t="shared" si="32"/>
        <v>0</v>
      </c>
      <c r="AN76" s="8">
        <f t="shared" si="32"/>
        <v>0</v>
      </c>
      <c r="AO76" s="8">
        <f t="shared" si="32"/>
        <v>0</v>
      </c>
      <c r="AP76" s="8">
        <f t="shared" si="32"/>
        <v>0</v>
      </c>
      <c r="AQ76" s="8">
        <f t="shared" si="32"/>
        <v>0</v>
      </c>
      <c r="AR76" s="8">
        <f t="shared" si="32"/>
        <v>0</v>
      </c>
      <c r="AS76" s="8">
        <f t="shared" si="32"/>
        <v>0</v>
      </c>
      <c r="AT76" s="8">
        <f t="shared" si="32"/>
        <v>0</v>
      </c>
      <c r="AU76" s="8">
        <f t="shared" si="32"/>
        <v>0</v>
      </c>
      <c r="AV76" s="8">
        <f t="shared" si="32"/>
        <v>0</v>
      </c>
      <c r="AY76" s="219"/>
      <c r="AZ76" s="100"/>
      <c r="BA76" s="100"/>
      <c r="BB76" s="100"/>
      <c r="BC76" s="100"/>
    </row>
    <row r="77" spans="1:55">
      <c r="A77" s="4" t="s">
        <v>17</v>
      </c>
      <c r="B77" s="176" t="s">
        <v>247</v>
      </c>
      <c r="C77" s="124" t="str">
        <f t="shared" si="26"/>
        <v>Commercial - Public Water</v>
      </c>
      <c r="D77" s="124" t="s">
        <v>76</v>
      </c>
      <c r="E77" s="206">
        <v>0</v>
      </c>
      <c r="F77" s="120">
        <v>0</v>
      </c>
      <c r="G77" s="207">
        <f t="shared" si="27"/>
        <v>0</v>
      </c>
      <c r="H77" s="120">
        <f t="shared" si="31"/>
        <v>0</v>
      </c>
      <c r="I77" s="208">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32"/>
        <v>0</v>
      </c>
      <c r="AA77" s="8">
        <f t="shared" si="32"/>
        <v>0</v>
      </c>
      <c r="AB77" s="8">
        <f t="shared" si="32"/>
        <v>0</v>
      </c>
      <c r="AC77" s="8">
        <f t="shared" si="32"/>
        <v>0</v>
      </c>
      <c r="AD77" s="8">
        <f t="shared" si="32"/>
        <v>0</v>
      </c>
      <c r="AE77" s="8">
        <f t="shared" ref="AE77:AV77" si="33">IF(AE$8=-1,AF77,IF(AE$8=99,AD77,IF(AE$8=0,INDEX($E77:$I77,0,AE$6),(INDEX($E77:$I77,0,AE$8+1)-INDEX($E77:$I77,0,AE$8))/(INDEX($D$5:$H$5,0,AE$8+1)-INDEX($D$5:$H$5,0,AE$8))+AD77)))</f>
        <v>0</v>
      </c>
      <c r="AF77" s="8">
        <f t="shared" si="33"/>
        <v>0</v>
      </c>
      <c r="AG77" s="8">
        <f t="shared" si="33"/>
        <v>0</v>
      </c>
      <c r="AH77" s="8">
        <f t="shared" si="33"/>
        <v>0</v>
      </c>
      <c r="AI77" s="8">
        <f t="shared" si="33"/>
        <v>0</v>
      </c>
      <c r="AJ77" s="8">
        <f t="shared" si="33"/>
        <v>0</v>
      </c>
      <c r="AK77" s="8">
        <f t="shared" si="33"/>
        <v>0</v>
      </c>
      <c r="AL77" s="8">
        <f t="shared" si="33"/>
        <v>0</v>
      </c>
      <c r="AM77" s="8">
        <f t="shared" si="33"/>
        <v>0</v>
      </c>
      <c r="AN77" s="8">
        <f t="shared" si="33"/>
        <v>0</v>
      </c>
      <c r="AO77" s="8">
        <f t="shared" si="33"/>
        <v>0</v>
      </c>
      <c r="AP77" s="8">
        <f t="shared" si="33"/>
        <v>0</v>
      </c>
      <c r="AQ77" s="8">
        <f t="shared" si="33"/>
        <v>0</v>
      </c>
      <c r="AR77" s="8">
        <f t="shared" si="33"/>
        <v>0</v>
      </c>
      <c r="AS77" s="8">
        <f t="shared" si="33"/>
        <v>0</v>
      </c>
      <c r="AT77" s="8">
        <f t="shared" si="33"/>
        <v>0</v>
      </c>
      <c r="AU77" s="8">
        <f t="shared" si="33"/>
        <v>0</v>
      </c>
      <c r="AV77" s="8">
        <f t="shared" si="33"/>
        <v>0</v>
      </c>
      <c r="AY77" s="219"/>
      <c r="AZ77" s="100"/>
      <c r="BA77" s="100"/>
      <c r="BB77" s="100"/>
      <c r="BC77" s="100"/>
    </row>
    <row r="78" spans="1:55">
      <c r="A78" s="4" t="s">
        <v>17</v>
      </c>
      <c r="B78" s="176" t="s">
        <v>248</v>
      </c>
      <c r="C78" s="96" t="str">
        <f t="shared" si="26"/>
        <v>Commercial - Other</v>
      </c>
      <c r="D78" s="102" t="s">
        <v>76</v>
      </c>
      <c r="E78" s="107">
        <f>$D64/J$23</f>
        <v>141.24997285391134</v>
      </c>
      <c r="F78" s="120">
        <f t="shared" si="30"/>
        <v>121.74469401620277</v>
      </c>
      <c r="G78" s="120">
        <f t="shared" si="27"/>
        <v>121.74469401620277</v>
      </c>
      <c r="H78" s="120">
        <f t="shared" si="31"/>
        <v>121.74469401620277</v>
      </c>
      <c r="I78" s="180">
        <f t="shared" si="27"/>
        <v>121.74469401620277</v>
      </c>
      <c r="J78" s="8">
        <f t="shared" ref="J78:AV78" si="34">IF(J$8=-1,K78,IF(J$8=99,I78,IF(J$8=0,INDEX($E78:$I78,0,J$6),(INDEX($E78:$I78,0,J$8+1)-INDEX($E78:$I78,0,J$8))/(INDEX($D$5:$H$5,0,J$8+1)-INDEX($D$5:$H$5,0,J$8))+I78)))</f>
        <v>141.24997285391134</v>
      </c>
      <c r="K78" s="8">
        <f t="shared" si="34"/>
        <v>137.34891708636962</v>
      </c>
      <c r="L78" s="8">
        <f t="shared" si="34"/>
        <v>133.4478613188279</v>
      </c>
      <c r="M78" s="8">
        <f t="shared" si="34"/>
        <v>129.54680555128618</v>
      </c>
      <c r="N78" s="8">
        <f t="shared" si="34"/>
        <v>125.64574978374446</v>
      </c>
      <c r="O78" s="8">
        <f t="shared" si="34"/>
        <v>121.74469401620277</v>
      </c>
      <c r="P78" s="8">
        <f t="shared" si="34"/>
        <v>121.74469401620277</v>
      </c>
      <c r="Q78" s="8">
        <f t="shared" si="34"/>
        <v>121.74469401620277</v>
      </c>
      <c r="R78" s="8">
        <f t="shared" si="34"/>
        <v>121.74469401620277</v>
      </c>
      <c r="S78" s="8">
        <f t="shared" si="34"/>
        <v>121.74469401620277</v>
      </c>
      <c r="T78" s="8">
        <f t="shared" si="34"/>
        <v>121.74469401620277</v>
      </c>
      <c r="U78" s="8">
        <f t="shared" si="34"/>
        <v>121.74469401620277</v>
      </c>
      <c r="V78" s="8">
        <f t="shared" si="34"/>
        <v>121.74469401620277</v>
      </c>
      <c r="W78" s="8">
        <f t="shared" si="34"/>
        <v>121.74469401620277</v>
      </c>
      <c r="X78" s="8">
        <f t="shared" si="34"/>
        <v>121.74469401620277</v>
      </c>
      <c r="Y78" s="8">
        <f t="shared" si="34"/>
        <v>121.74469401620277</v>
      </c>
      <c r="Z78" s="8">
        <f t="shared" si="34"/>
        <v>121.74469401620277</v>
      </c>
      <c r="AA78" s="8">
        <f t="shared" si="34"/>
        <v>121.74469401620277</v>
      </c>
      <c r="AB78" s="8">
        <f t="shared" si="34"/>
        <v>121.74469401620277</v>
      </c>
      <c r="AC78" s="8">
        <f t="shared" si="34"/>
        <v>121.74469401620277</v>
      </c>
      <c r="AD78" s="8">
        <f t="shared" si="34"/>
        <v>121.74469401620277</v>
      </c>
      <c r="AE78" s="8">
        <f t="shared" si="34"/>
        <v>121.74469401620277</v>
      </c>
      <c r="AF78" s="8">
        <f t="shared" si="34"/>
        <v>121.74469401620277</v>
      </c>
      <c r="AG78" s="8">
        <f t="shared" si="34"/>
        <v>121.74469401620277</v>
      </c>
      <c r="AH78" s="8">
        <f t="shared" si="34"/>
        <v>121.74469401620277</v>
      </c>
      <c r="AI78" s="8">
        <f t="shared" si="34"/>
        <v>121.74469401620277</v>
      </c>
      <c r="AJ78" s="8">
        <f t="shared" si="34"/>
        <v>121.74469401620277</v>
      </c>
      <c r="AK78" s="8">
        <f t="shared" si="34"/>
        <v>121.74469401620277</v>
      </c>
      <c r="AL78" s="8">
        <f t="shared" si="34"/>
        <v>121.74469401620277</v>
      </c>
      <c r="AM78" s="8">
        <f t="shared" si="34"/>
        <v>121.74469401620277</v>
      </c>
      <c r="AN78" s="8">
        <f t="shared" si="34"/>
        <v>121.74469401620277</v>
      </c>
      <c r="AO78" s="8">
        <f t="shared" si="34"/>
        <v>121.74469401620277</v>
      </c>
      <c r="AP78" s="8">
        <f t="shared" si="34"/>
        <v>121.74469401620277</v>
      </c>
      <c r="AQ78" s="8">
        <f t="shared" si="34"/>
        <v>121.74469401620277</v>
      </c>
      <c r="AR78" s="8">
        <f t="shared" si="34"/>
        <v>121.74469401620277</v>
      </c>
      <c r="AS78" s="8">
        <f t="shared" si="34"/>
        <v>121.74469401620277</v>
      </c>
      <c r="AT78" s="8">
        <f t="shared" si="34"/>
        <v>121.74469401620277</v>
      </c>
      <c r="AU78" s="8">
        <f t="shared" si="34"/>
        <v>121.74469401620277</v>
      </c>
      <c r="AV78" s="8">
        <f t="shared" si="34"/>
        <v>121.74469401620277</v>
      </c>
    </row>
    <row r="79" spans="1:55">
      <c r="A79" s="4" t="s">
        <v>17</v>
      </c>
      <c r="B79" s="176"/>
      <c r="I79" s="210"/>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55" ht="15" thickBot="1">
      <c r="A80" s="4" t="s">
        <v>17</v>
      </c>
      <c r="B80" s="117" t="s">
        <v>78</v>
      </c>
      <c r="C80" s="93"/>
      <c r="D80" s="94"/>
      <c r="E80" s="118"/>
      <c r="F80" s="118"/>
      <c r="G80" s="118"/>
      <c r="H80" s="216"/>
      <c r="I80" s="211"/>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row>
    <row r="81" spans="1:48">
      <c r="A81" s="4" t="s">
        <v>17</v>
      </c>
      <c r="B81" s="176" t="s">
        <v>249</v>
      </c>
      <c r="C81" s="96" t="str">
        <f t="shared" ref="C81:C89" si="35">C70</f>
        <v>Commercial - Cooling</v>
      </c>
      <c r="D81" s="96" t="s">
        <v>76</v>
      </c>
      <c r="E81" s="107">
        <f>E70</f>
        <v>1051.567060091292</v>
      </c>
      <c r="F81" s="120">
        <f>F70</f>
        <v>861.441862053352</v>
      </c>
      <c r="G81" s="120">
        <f t="shared" ref="G81:G89" si="36">F81</f>
        <v>861.441862053352</v>
      </c>
      <c r="H81" s="120">
        <f>G81*(1+$H$69)</f>
        <v>861.441862053352</v>
      </c>
      <c r="I81" s="180">
        <f t="shared" ref="I81:I89" si="37">H81</f>
        <v>861.441862053352</v>
      </c>
      <c r="J81" s="8">
        <f>IF(J$8=-1,K81,IF(J$8=99,I81,IF(J$8=0,INDEX($E81:$I81,0,J$6),(INDEX($E81:$I81,0,J$8+1)-INDEX($E81:$I81,0,J$8))/(INDEX($D$5:$H$5,0,J$8+1)-INDEX($D$5:$H$5,0,J$8))+I81)))</f>
        <v>1051.567060091292</v>
      </c>
      <c r="K81" s="8">
        <f>IF(K$8=-1,L81,IF(K$8=99,J81,IF(K$8=0,INDEX($E81:$I81,0,K$6),(INDEX($E81:$I81,0,K$8+1)-INDEX($E81:$I81,0,K$8))/(INDEX($D$5:$H$5,0,K$8+1)-INDEX($D$5:$H$5,0,K$8))+J81)))</f>
        <v>1013.5420204837039</v>
      </c>
      <c r="L81" s="8">
        <f t="shared" ref="L81:L89" si="38">IF(L$8=-1,M81,IF(L$8=99,K81,IF(L$8=0,INDEX($E81:$I81,0,L$6),(INDEX($E81:$I81,0,L$8+1)-INDEX($E81:$I81,0,L$8))/(INDEX($D$5:$H$5,0,L$8+1)-INDEX($D$5:$H$5,0,L$8))+K81)))</f>
        <v>975.51698087611589</v>
      </c>
      <c r="M81" s="8">
        <f t="shared" ref="M81:M86" si="39">IF(M$8=-1,N81,IF(M$8=99,L81,IF(M$8=0,INDEX($E81:$I81,0,M$6),(INDEX($E81:$I81,0,M$8+1)-INDEX($E81:$I81,0,M$8))/(INDEX($D$5:$H$5,0,M$8+1)-INDEX($D$5:$H$5,0,M$8))+L81)))</f>
        <v>937.49194126852785</v>
      </c>
      <c r="N81" s="8">
        <f t="shared" ref="N81:N89" si="40">IF(N$8=-1,O81,IF(N$8=99,M81,IF(N$8=0,INDEX($E81:$I81,0,N$6),(INDEX($E81:$I81,0,N$8+1)-INDEX($E81:$I81,0,N$8))/(INDEX($D$5:$H$5,0,N$8+1)-INDEX($D$5:$H$5,0,N$8))+M81)))</f>
        <v>899.46690166093981</v>
      </c>
      <c r="O81" s="8">
        <f t="shared" ref="O81:O89" si="41">IF(O$8=-1,P81,IF(O$8=99,N81,IF(O$8=0,INDEX($E81:$I81,0,O$6),(INDEX($E81:$I81,0,O$8+1)-INDEX($E81:$I81,0,O$8))/(INDEX($D$5:$H$5,0,O$8+1)-INDEX($D$5:$H$5,0,O$8))+N81)))</f>
        <v>861.441862053352</v>
      </c>
      <c r="P81" s="8">
        <f t="shared" ref="P81:P89" si="42">IF(P$8=-1,Q81,IF(P$8=99,O81,IF(P$8=0,INDEX($E81:$I81,0,P$6),(INDEX($E81:$I81,0,P$8+1)-INDEX($E81:$I81,0,P$8))/(INDEX($D$5:$H$5,0,P$8+1)-INDEX($D$5:$H$5,0,P$8))+O81)))</f>
        <v>861.441862053352</v>
      </c>
      <c r="Q81" s="8">
        <f t="shared" ref="Q81:Q89" si="43">IF(Q$8=-1,R81,IF(Q$8=99,P81,IF(Q$8=0,INDEX($E81:$I81,0,Q$6),(INDEX($E81:$I81,0,Q$8+1)-INDEX($E81:$I81,0,Q$8))/(INDEX($D$5:$H$5,0,Q$8+1)-INDEX($D$5:$H$5,0,Q$8))+P81)))</f>
        <v>861.441862053352</v>
      </c>
      <c r="R81" s="8">
        <f t="shared" ref="R81:R89" si="44">IF(R$8=-1,S81,IF(R$8=99,Q81,IF(R$8=0,INDEX($E81:$I81,0,R$6),(INDEX($E81:$I81,0,R$8+1)-INDEX($E81:$I81,0,R$8))/(INDEX($D$5:$H$5,0,R$8+1)-INDEX($D$5:$H$5,0,R$8))+Q81)))</f>
        <v>861.441862053352</v>
      </c>
      <c r="S81" s="8">
        <f t="shared" ref="S81:S89" si="45">IF(S$8=-1,T81,IF(S$8=99,R81,IF(S$8=0,INDEX($E81:$I81,0,S$6),(INDEX($E81:$I81,0,S$8+1)-INDEX($E81:$I81,0,S$8))/(INDEX($D$5:$H$5,0,S$8+1)-INDEX($D$5:$H$5,0,S$8))+R81)))</f>
        <v>861.441862053352</v>
      </c>
      <c r="T81" s="8">
        <f t="shared" ref="T81:T89" si="46">IF(T$8=-1,U81,IF(T$8=99,S81,IF(T$8=0,INDEX($E81:$I81,0,T$6),(INDEX($E81:$I81,0,T$8+1)-INDEX($E81:$I81,0,T$8))/(INDEX($D$5:$H$5,0,T$8+1)-INDEX($D$5:$H$5,0,T$8))+S81)))</f>
        <v>861.441862053352</v>
      </c>
      <c r="U81" s="8">
        <f t="shared" ref="U81:U89" si="47">IF(U$8=-1,V81,IF(U$8=99,T81,IF(U$8=0,INDEX($E81:$I81,0,U$6),(INDEX($E81:$I81,0,U$8+1)-INDEX($E81:$I81,0,U$8))/(INDEX($D$5:$H$5,0,U$8+1)-INDEX($D$5:$H$5,0,U$8))+T81)))</f>
        <v>861.441862053352</v>
      </c>
      <c r="V81" s="8">
        <f t="shared" ref="V81:V89" si="48">IF(V$8=-1,W81,IF(V$8=99,U81,IF(V$8=0,INDEX($E81:$I81,0,V$6),(INDEX($E81:$I81,0,V$8+1)-INDEX($E81:$I81,0,V$8))/(INDEX($D$5:$H$5,0,V$8+1)-INDEX($D$5:$H$5,0,V$8))+U81)))</f>
        <v>861.441862053352</v>
      </c>
      <c r="W81" s="8">
        <f t="shared" ref="W81:W89" si="49">IF(W$8=-1,X81,IF(W$8=99,V81,IF(W$8=0,INDEX($E81:$I81,0,W$6),(INDEX($E81:$I81,0,W$8+1)-INDEX($E81:$I81,0,W$8))/(INDEX($D$5:$H$5,0,W$8+1)-INDEX($D$5:$H$5,0,W$8))+V81)))</f>
        <v>861.441862053352</v>
      </c>
      <c r="X81" s="8">
        <f t="shared" ref="X81:X89" si="50">IF(X$8=-1,Y81,IF(X$8=99,W81,IF(X$8=0,INDEX($E81:$I81,0,X$6),(INDEX($E81:$I81,0,X$8+1)-INDEX($E81:$I81,0,X$8))/(INDEX($D$5:$H$5,0,X$8+1)-INDEX($D$5:$H$5,0,X$8))+W81)))</f>
        <v>861.441862053352</v>
      </c>
      <c r="Y81" s="8">
        <f t="shared" ref="Y81:Y89" si="51">IF(Y$8=-1,Z81,IF(Y$8=99,X81,IF(Y$8=0,INDEX($E81:$I81,0,Y$6),(INDEX($E81:$I81,0,Y$8+1)-INDEX($E81:$I81,0,Y$8))/(INDEX($D$5:$H$5,0,Y$8+1)-INDEX($D$5:$H$5,0,Y$8))+X81)))</f>
        <v>861.441862053352</v>
      </c>
      <c r="Z81" s="8">
        <f t="shared" ref="Z81:Z89" si="52">IF(Z$8=-1,AA81,IF(Z$8=99,Y81,IF(Z$8=0,INDEX($E81:$I81,0,Z$6),(INDEX($E81:$I81,0,Z$8+1)-INDEX($E81:$I81,0,Z$8))/(INDEX($D$5:$H$5,0,Z$8+1)-INDEX($D$5:$H$5,0,Z$8))+Y81)))</f>
        <v>861.441862053352</v>
      </c>
      <c r="AA81" s="8">
        <f t="shared" ref="AA81:AA89" si="53">IF(AA$8=-1,AB81,IF(AA$8=99,Z81,IF(AA$8=0,INDEX($E81:$I81,0,AA$6),(INDEX($E81:$I81,0,AA$8+1)-INDEX($E81:$I81,0,AA$8))/(INDEX($D$5:$H$5,0,AA$8+1)-INDEX($D$5:$H$5,0,AA$8))+Z81)))</f>
        <v>861.441862053352</v>
      </c>
      <c r="AB81" s="8">
        <f t="shared" ref="AB81:AB89" si="54">IF(AB$8=-1,AC81,IF(AB$8=99,AA81,IF(AB$8=0,INDEX($E81:$I81,0,AB$6),(INDEX($E81:$I81,0,AB$8+1)-INDEX($E81:$I81,0,AB$8))/(INDEX($D$5:$H$5,0,AB$8+1)-INDEX($D$5:$H$5,0,AB$8))+AA81)))</f>
        <v>861.441862053352</v>
      </c>
      <c r="AC81" s="8">
        <f t="shared" ref="AC81:AC89" si="55">IF(AC$8=-1,AD81,IF(AC$8=99,AB81,IF(AC$8=0,INDEX($E81:$I81,0,AC$6),(INDEX($E81:$I81,0,AC$8+1)-INDEX($E81:$I81,0,AC$8))/(INDEX($D$5:$H$5,0,AC$8+1)-INDEX($D$5:$H$5,0,AC$8))+AB81)))</f>
        <v>861.441862053352</v>
      </c>
      <c r="AD81" s="8">
        <f t="shared" ref="AD81:AD89" si="56">IF(AD$8=-1,AE81,IF(AD$8=99,AC81,IF(AD$8=0,INDEX($E81:$I81,0,AD$6),(INDEX($E81:$I81,0,AD$8+1)-INDEX($E81:$I81,0,AD$8))/(INDEX($D$5:$H$5,0,AD$8+1)-INDEX($D$5:$H$5,0,AD$8))+AC81)))</f>
        <v>861.441862053352</v>
      </c>
      <c r="AE81" s="8">
        <f t="shared" ref="AE81:AE89" si="57">IF(AE$8=-1,AF81,IF(AE$8=99,AD81,IF(AE$8=0,INDEX($E81:$I81,0,AE$6),(INDEX($E81:$I81,0,AE$8+1)-INDEX($E81:$I81,0,AE$8))/(INDEX($D$5:$H$5,0,AE$8+1)-INDEX($D$5:$H$5,0,AE$8))+AD81)))</f>
        <v>861.441862053352</v>
      </c>
      <c r="AF81" s="8">
        <f t="shared" ref="AF81:AF89" si="58">IF(AF$8=-1,AG81,IF(AF$8=99,AE81,IF(AF$8=0,INDEX($E81:$I81,0,AF$6),(INDEX($E81:$I81,0,AF$8+1)-INDEX($E81:$I81,0,AF$8))/(INDEX($D$5:$H$5,0,AF$8+1)-INDEX($D$5:$H$5,0,AF$8))+AE81)))</f>
        <v>861.441862053352</v>
      </c>
      <c r="AG81" s="8">
        <f t="shared" ref="AG81:AG89" si="59">IF(AG$8=-1,AH81,IF(AG$8=99,AF81,IF(AG$8=0,INDEX($E81:$I81,0,AG$6),(INDEX($E81:$I81,0,AG$8+1)-INDEX($E81:$I81,0,AG$8))/(INDEX($D$5:$H$5,0,AG$8+1)-INDEX($D$5:$H$5,0,AG$8))+AF81)))</f>
        <v>861.441862053352</v>
      </c>
      <c r="AH81" s="8">
        <f t="shared" ref="AH81:AH89" si="60">IF(AH$8=-1,AI81,IF(AH$8=99,AG81,IF(AH$8=0,INDEX($E81:$I81,0,AH$6),(INDEX($E81:$I81,0,AH$8+1)-INDEX($E81:$I81,0,AH$8))/(INDEX($D$5:$H$5,0,AH$8+1)-INDEX($D$5:$H$5,0,AH$8))+AG81)))</f>
        <v>861.441862053352</v>
      </c>
      <c r="AI81" s="8">
        <f t="shared" ref="AI81:AI89" si="61">IF(AI$8=-1,AJ81,IF(AI$8=99,AH81,IF(AI$8=0,INDEX($E81:$I81,0,AI$6),(INDEX($E81:$I81,0,AI$8+1)-INDEX($E81:$I81,0,AI$8))/(INDEX($D$5:$H$5,0,AI$8+1)-INDEX($D$5:$H$5,0,AI$8))+AH81)))</f>
        <v>861.441862053352</v>
      </c>
      <c r="AJ81" s="8">
        <f t="shared" ref="AJ81:AJ89" si="62">IF(AJ$8=-1,AK81,IF(AJ$8=99,AI81,IF(AJ$8=0,INDEX($E81:$I81,0,AJ$6),(INDEX($E81:$I81,0,AJ$8+1)-INDEX($E81:$I81,0,AJ$8))/(INDEX($D$5:$H$5,0,AJ$8+1)-INDEX($D$5:$H$5,0,AJ$8))+AI81)))</f>
        <v>861.441862053352</v>
      </c>
      <c r="AK81" s="8">
        <f t="shared" ref="AK81:AK89" si="63">IF(AK$8=-1,AL81,IF(AK$8=99,AJ81,IF(AK$8=0,INDEX($E81:$I81,0,AK$6),(INDEX($E81:$I81,0,AK$8+1)-INDEX($E81:$I81,0,AK$8))/(INDEX($D$5:$H$5,0,AK$8+1)-INDEX($D$5:$H$5,0,AK$8))+AJ81)))</f>
        <v>861.441862053352</v>
      </c>
      <c r="AL81" s="8">
        <f t="shared" ref="AL81:AL89" si="64">IF(AL$8=-1,AM81,IF(AL$8=99,AK81,IF(AL$8=0,INDEX($E81:$I81,0,AL$6),(INDEX($E81:$I81,0,AL$8+1)-INDEX($E81:$I81,0,AL$8))/(INDEX($D$5:$H$5,0,AL$8+1)-INDEX($D$5:$H$5,0,AL$8))+AK81)))</f>
        <v>861.441862053352</v>
      </c>
      <c r="AM81" s="8">
        <f t="shared" ref="AM81:AM89" si="65">IF(AM$8=-1,AN81,IF(AM$8=99,AL81,IF(AM$8=0,INDEX($E81:$I81,0,AM$6),(INDEX($E81:$I81,0,AM$8+1)-INDEX($E81:$I81,0,AM$8))/(INDEX($D$5:$H$5,0,AM$8+1)-INDEX($D$5:$H$5,0,AM$8))+AL81)))</f>
        <v>861.441862053352</v>
      </c>
      <c r="AN81" s="8">
        <f t="shared" ref="AN81:AN89" si="66">IF(AN$8=-1,AO81,IF(AN$8=99,AM81,IF(AN$8=0,INDEX($E81:$I81,0,AN$6),(INDEX($E81:$I81,0,AN$8+1)-INDEX($E81:$I81,0,AN$8))/(INDEX($D$5:$H$5,0,AN$8+1)-INDEX($D$5:$H$5,0,AN$8))+AM81)))</f>
        <v>861.441862053352</v>
      </c>
      <c r="AO81" s="8">
        <f t="shared" ref="AO81:AO89" si="67">IF(AO$8=-1,AP81,IF(AO$8=99,AN81,IF(AO$8=0,INDEX($E81:$I81,0,AO$6),(INDEX($E81:$I81,0,AO$8+1)-INDEX($E81:$I81,0,AO$8))/(INDEX($D$5:$H$5,0,AO$8+1)-INDEX($D$5:$H$5,0,AO$8))+AN81)))</f>
        <v>861.441862053352</v>
      </c>
      <c r="AP81" s="8">
        <f t="shared" ref="AP81:AP89" si="68">IF(AP$8=-1,AQ81,IF(AP$8=99,AO81,IF(AP$8=0,INDEX($E81:$I81,0,AP$6),(INDEX($E81:$I81,0,AP$8+1)-INDEX($E81:$I81,0,AP$8))/(INDEX($D$5:$H$5,0,AP$8+1)-INDEX($D$5:$H$5,0,AP$8))+AO81)))</f>
        <v>861.441862053352</v>
      </c>
      <c r="AQ81" s="8">
        <f t="shared" ref="AQ81:AQ89" si="69">IF(AQ$8=-1,AR81,IF(AQ$8=99,AP81,IF(AQ$8=0,INDEX($E81:$I81,0,AQ$6),(INDEX($E81:$I81,0,AQ$8+1)-INDEX($E81:$I81,0,AQ$8))/(INDEX($D$5:$H$5,0,AQ$8+1)-INDEX($D$5:$H$5,0,AQ$8))+AP81)))</f>
        <v>861.441862053352</v>
      </c>
      <c r="AR81" s="8">
        <f t="shared" ref="AR81:AR89" si="70">IF(AR$8=-1,AS81,IF(AR$8=99,AQ81,IF(AR$8=0,INDEX($E81:$I81,0,AR$6),(INDEX($E81:$I81,0,AR$8+1)-INDEX($E81:$I81,0,AR$8))/(INDEX($D$5:$H$5,0,AR$8+1)-INDEX($D$5:$H$5,0,AR$8))+AQ81)))</f>
        <v>861.441862053352</v>
      </c>
      <c r="AS81" s="8">
        <f t="shared" ref="AS81:AS89" si="71">IF(AS$8=-1,AT81,IF(AS$8=99,AR81,IF(AS$8=0,INDEX($E81:$I81,0,AS$6),(INDEX($E81:$I81,0,AS$8+1)-INDEX($E81:$I81,0,AS$8))/(INDEX($D$5:$H$5,0,AS$8+1)-INDEX($D$5:$H$5,0,AS$8))+AR81)))</f>
        <v>861.441862053352</v>
      </c>
      <c r="AT81" s="8">
        <f t="shared" ref="AT81:AT89" si="72">IF(AT$8=-1,AU81,IF(AT$8=99,AS81,IF(AT$8=0,INDEX($E81:$I81,0,AT$6),(INDEX($E81:$I81,0,AT$8+1)-INDEX($E81:$I81,0,AT$8))/(INDEX($D$5:$H$5,0,AT$8+1)-INDEX($D$5:$H$5,0,AT$8))+AS81)))</f>
        <v>861.441862053352</v>
      </c>
      <c r="AU81" s="8">
        <f t="shared" ref="AU81:AU89" si="73">IF(AU$8=-1,AV81,IF(AU$8=99,AT81,IF(AU$8=0,INDEX($E81:$I81,0,AU$6),(INDEX($E81:$I81,0,AU$8+1)-INDEX($E81:$I81,0,AU$8))/(INDEX($D$5:$H$5,0,AU$8+1)-INDEX($D$5:$H$5,0,AU$8))+AT81)))</f>
        <v>861.441862053352</v>
      </c>
      <c r="AV81" s="8">
        <f t="shared" ref="AV81:AV89" si="74">IF(AV$8=-1,AW81,IF(AV$8=99,AU81,IF(AV$8=0,INDEX($E81:$I81,0,AV$6),(INDEX($E81:$I81,0,AV$8+1)-INDEX($E81:$I81,0,AV$8))/(INDEX($D$5:$H$5,0,AV$8+1)-INDEX($D$5:$H$5,0,AV$8))+AU81)))</f>
        <v>861.441862053352</v>
      </c>
    </row>
    <row r="82" spans="1:48">
      <c r="A82" s="4" t="s">
        <v>17</v>
      </c>
      <c r="B82" s="176" t="s">
        <v>250</v>
      </c>
      <c r="C82" s="96" t="str">
        <f t="shared" si="35"/>
        <v>Commercial - Space Heating</v>
      </c>
      <c r="D82" s="96" t="s">
        <v>76</v>
      </c>
      <c r="E82" s="107">
        <f t="shared" ref="E82:F89" si="75">E71</f>
        <v>59.117764859369188</v>
      </c>
      <c r="F82" s="120">
        <f t="shared" si="75"/>
        <v>82.152555943357399</v>
      </c>
      <c r="G82" s="120">
        <f t="shared" si="36"/>
        <v>82.152555943357399</v>
      </c>
      <c r="H82" s="120">
        <f t="shared" ref="H82:H89" si="76">G82*(1+$H$69)</f>
        <v>82.152555943357399</v>
      </c>
      <c r="I82" s="180">
        <f t="shared" si="37"/>
        <v>82.152555943357399</v>
      </c>
      <c r="J82" s="8">
        <f t="shared" ref="J82:J89" si="77">IF(J$8=-1,K82,IF(J$8=99,I82,IF(J$8=0,INDEX($E82:$I82,0,J$6),(INDEX($E82:$I82,0,J$8+1)-INDEX($E82:$I82,0,J$8))/(INDEX($D$5:$H$5,0,J$8+1)-INDEX($D$5:$H$5,0,J$8))+I82)))</f>
        <v>59.117764859369188</v>
      </c>
      <c r="K82" s="8">
        <f t="shared" ref="K82:K89" si="78">IF(K$8=-1,L82,IF(K$8=99,J82,IF(K$8=0,INDEX($E82:$I82,0,K$6),(INDEX($E82:$I82,0,K$8+1)-INDEX($E82:$I82,0,K$8))/(INDEX($D$5:$H$5,0,K$8+1)-INDEX($D$5:$H$5,0,K$8))+J82)))</f>
        <v>63.724723076166832</v>
      </c>
      <c r="L82" s="8">
        <f t="shared" si="38"/>
        <v>68.331681292964475</v>
      </c>
      <c r="M82" s="8">
        <f t="shared" si="39"/>
        <v>72.938639509762112</v>
      </c>
      <c r="N82" s="8">
        <f t="shared" si="40"/>
        <v>77.545597726559748</v>
      </c>
      <c r="O82" s="8">
        <f t="shared" si="41"/>
        <v>82.152555943357399</v>
      </c>
      <c r="P82" s="8">
        <f t="shared" si="42"/>
        <v>82.152555943357399</v>
      </c>
      <c r="Q82" s="8">
        <f t="shared" si="43"/>
        <v>82.152555943357399</v>
      </c>
      <c r="R82" s="8">
        <f t="shared" si="44"/>
        <v>82.152555943357399</v>
      </c>
      <c r="S82" s="8">
        <f t="shared" si="45"/>
        <v>82.152555943357399</v>
      </c>
      <c r="T82" s="8">
        <f t="shared" si="46"/>
        <v>82.152555943357399</v>
      </c>
      <c r="U82" s="8">
        <f t="shared" si="47"/>
        <v>82.152555943357399</v>
      </c>
      <c r="V82" s="8">
        <f t="shared" si="48"/>
        <v>82.152555943357399</v>
      </c>
      <c r="W82" s="8">
        <f t="shared" si="49"/>
        <v>82.152555943357399</v>
      </c>
      <c r="X82" s="8">
        <f t="shared" si="50"/>
        <v>82.152555943357399</v>
      </c>
      <c r="Y82" s="8">
        <f t="shared" si="51"/>
        <v>82.152555943357399</v>
      </c>
      <c r="Z82" s="8">
        <f t="shared" si="52"/>
        <v>82.152555943357399</v>
      </c>
      <c r="AA82" s="8">
        <f t="shared" si="53"/>
        <v>82.152555943357399</v>
      </c>
      <c r="AB82" s="8">
        <f t="shared" si="54"/>
        <v>82.152555943357399</v>
      </c>
      <c r="AC82" s="8">
        <f t="shared" si="55"/>
        <v>82.152555943357399</v>
      </c>
      <c r="AD82" s="8">
        <f t="shared" si="56"/>
        <v>82.152555943357399</v>
      </c>
      <c r="AE82" s="8">
        <f t="shared" si="57"/>
        <v>82.152555943357399</v>
      </c>
      <c r="AF82" s="8">
        <f t="shared" si="58"/>
        <v>82.152555943357399</v>
      </c>
      <c r="AG82" s="8">
        <f t="shared" si="59"/>
        <v>82.152555943357399</v>
      </c>
      <c r="AH82" s="8">
        <f t="shared" si="60"/>
        <v>82.152555943357399</v>
      </c>
      <c r="AI82" s="8">
        <f t="shared" si="61"/>
        <v>82.152555943357399</v>
      </c>
      <c r="AJ82" s="8">
        <f t="shared" si="62"/>
        <v>82.152555943357399</v>
      </c>
      <c r="AK82" s="8">
        <f t="shared" si="63"/>
        <v>82.152555943357399</v>
      </c>
      <c r="AL82" s="8">
        <f t="shared" si="64"/>
        <v>82.152555943357399</v>
      </c>
      <c r="AM82" s="8">
        <f t="shared" si="65"/>
        <v>82.152555943357399</v>
      </c>
      <c r="AN82" s="8">
        <f t="shared" si="66"/>
        <v>82.152555943357399</v>
      </c>
      <c r="AO82" s="8">
        <f t="shared" si="67"/>
        <v>82.152555943357399</v>
      </c>
      <c r="AP82" s="8">
        <f t="shared" si="68"/>
        <v>82.152555943357399</v>
      </c>
      <c r="AQ82" s="8">
        <f t="shared" si="69"/>
        <v>82.152555943357399</v>
      </c>
      <c r="AR82" s="8">
        <f t="shared" si="70"/>
        <v>82.152555943357399</v>
      </c>
      <c r="AS82" s="8">
        <f t="shared" si="71"/>
        <v>82.152555943357399</v>
      </c>
      <c r="AT82" s="8">
        <f t="shared" si="72"/>
        <v>82.152555943357399</v>
      </c>
      <c r="AU82" s="8">
        <f t="shared" si="73"/>
        <v>82.152555943357399</v>
      </c>
      <c r="AV82" s="8">
        <f t="shared" si="74"/>
        <v>82.152555943357399</v>
      </c>
    </row>
    <row r="83" spans="1:48">
      <c r="A83" s="4" t="s">
        <v>17</v>
      </c>
      <c r="B83" s="176" t="s">
        <v>251</v>
      </c>
      <c r="C83" s="96" t="str">
        <f t="shared" si="35"/>
        <v>Commercial - Cooking</v>
      </c>
      <c r="D83" s="96" t="s">
        <v>76</v>
      </c>
      <c r="E83" s="107">
        <f t="shared" si="75"/>
        <v>74.498085701673531</v>
      </c>
      <c r="F83" s="120">
        <f t="shared" si="75"/>
        <v>61.445903944690194</v>
      </c>
      <c r="G83" s="120">
        <f t="shared" si="36"/>
        <v>61.445903944690194</v>
      </c>
      <c r="H83" s="120">
        <f t="shared" si="76"/>
        <v>61.445903944690194</v>
      </c>
      <c r="I83" s="180">
        <f t="shared" si="37"/>
        <v>61.445903944690194</v>
      </c>
      <c r="J83" s="8">
        <f t="shared" si="77"/>
        <v>74.498085701673531</v>
      </c>
      <c r="K83" s="8">
        <f t="shared" si="78"/>
        <v>71.88764935027686</v>
      </c>
      <c r="L83" s="8">
        <f t="shared" si="38"/>
        <v>69.277212998880188</v>
      </c>
      <c r="M83" s="8">
        <f t="shared" si="39"/>
        <v>66.666776647483516</v>
      </c>
      <c r="N83" s="8">
        <f t="shared" si="40"/>
        <v>64.056340296086844</v>
      </c>
      <c r="O83" s="8">
        <f t="shared" si="41"/>
        <v>61.445903944690194</v>
      </c>
      <c r="P83" s="8">
        <f t="shared" si="42"/>
        <v>61.445903944690194</v>
      </c>
      <c r="Q83" s="8">
        <f t="shared" si="43"/>
        <v>61.445903944690194</v>
      </c>
      <c r="R83" s="8">
        <f t="shared" si="44"/>
        <v>61.445903944690194</v>
      </c>
      <c r="S83" s="8">
        <f t="shared" si="45"/>
        <v>61.445903944690194</v>
      </c>
      <c r="T83" s="8">
        <f t="shared" si="46"/>
        <v>61.445903944690194</v>
      </c>
      <c r="U83" s="8">
        <f t="shared" si="47"/>
        <v>61.445903944690194</v>
      </c>
      <c r="V83" s="8">
        <f t="shared" si="48"/>
        <v>61.445903944690194</v>
      </c>
      <c r="W83" s="8">
        <f t="shared" si="49"/>
        <v>61.445903944690194</v>
      </c>
      <c r="X83" s="8">
        <f t="shared" si="50"/>
        <v>61.445903944690194</v>
      </c>
      <c r="Y83" s="8">
        <f t="shared" si="51"/>
        <v>61.445903944690194</v>
      </c>
      <c r="Z83" s="8">
        <f t="shared" si="52"/>
        <v>61.445903944690194</v>
      </c>
      <c r="AA83" s="8">
        <f t="shared" si="53"/>
        <v>61.445903944690194</v>
      </c>
      <c r="AB83" s="8">
        <f t="shared" si="54"/>
        <v>61.445903944690194</v>
      </c>
      <c r="AC83" s="8">
        <f t="shared" si="55"/>
        <v>61.445903944690194</v>
      </c>
      <c r="AD83" s="8">
        <f t="shared" si="56"/>
        <v>61.445903944690194</v>
      </c>
      <c r="AE83" s="8">
        <f t="shared" si="57"/>
        <v>61.445903944690194</v>
      </c>
      <c r="AF83" s="8">
        <f t="shared" si="58"/>
        <v>61.445903944690194</v>
      </c>
      <c r="AG83" s="8">
        <f t="shared" si="59"/>
        <v>61.445903944690194</v>
      </c>
      <c r="AH83" s="8">
        <f t="shared" si="60"/>
        <v>61.445903944690194</v>
      </c>
      <c r="AI83" s="8">
        <f t="shared" si="61"/>
        <v>61.445903944690194</v>
      </c>
      <c r="AJ83" s="8">
        <f t="shared" si="62"/>
        <v>61.445903944690194</v>
      </c>
      <c r="AK83" s="8">
        <f t="shared" si="63"/>
        <v>61.445903944690194</v>
      </c>
      <c r="AL83" s="8">
        <f t="shared" si="64"/>
        <v>61.445903944690194</v>
      </c>
      <c r="AM83" s="8">
        <f t="shared" si="65"/>
        <v>61.445903944690194</v>
      </c>
      <c r="AN83" s="8">
        <f t="shared" si="66"/>
        <v>61.445903944690194</v>
      </c>
      <c r="AO83" s="8">
        <f t="shared" si="67"/>
        <v>61.445903944690194</v>
      </c>
      <c r="AP83" s="8">
        <f t="shared" si="68"/>
        <v>61.445903944690194</v>
      </c>
      <c r="AQ83" s="8">
        <f t="shared" si="69"/>
        <v>61.445903944690194</v>
      </c>
      <c r="AR83" s="8">
        <f t="shared" si="70"/>
        <v>61.445903944690194</v>
      </c>
      <c r="AS83" s="8">
        <f t="shared" si="71"/>
        <v>61.445903944690194</v>
      </c>
      <c r="AT83" s="8">
        <f t="shared" si="72"/>
        <v>61.445903944690194</v>
      </c>
      <c r="AU83" s="8">
        <f t="shared" si="73"/>
        <v>61.445903944690194</v>
      </c>
      <c r="AV83" s="8">
        <f t="shared" si="74"/>
        <v>61.445903944690194</v>
      </c>
    </row>
    <row r="84" spans="1:48">
      <c r="A84" s="4" t="s">
        <v>17</v>
      </c>
      <c r="B84" s="176" t="s">
        <v>252</v>
      </c>
      <c r="C84" s="96" t="str">
        <f t="shared" si="35"/>
        <v>Commercial - Lighting</v>
      </c>
      <c r="D84" s="96" t="s">
        <v>76</v>
      </c>
      <c r="E84" s="107">
        <f t="shared" si="75"/>
        <v>915.10615144128838</v>
      </c>
      <c r="F84" s="120">
        <f t="shared" si="75"/>
        <v>749.65332881920335</v>
      </c>
      <c r="G84" s="120">
        <f t="shared" si="36"/>
        <v>749.65332881920335</v>
      </c>
      <c r="H84" s="120">
        <f t="shared" si="76"/>
        <v>749.65332881920335</v>
      </c>
      <c r="I84" s="180">
        <f t="shared" si="37"/>
        <v>749.65332881920335</v>
      </c>
      <c r="J84" s="8">
        <f t="shared" si="77"/>
        <v>915.10615144128838</v>
      </c>
      <c r="K84" s="8">
        <f t="shared" si="78"/>
        <v>882.01558691687137</v>
      </c>
      <c r="L84" s="8">
        <f t="shared" si="38"/>
        <v>848.92502239245437</v>
      </c>
      <c r="M84" s="8">
        <f t="shared" si="39"/>
        <v>815.83445786803736</v>
      </c>
      <c r="N84" s="8">
        <f t="shared" si="40"/>
        <v>782.74389334362036</v>
      </c>
      <c r="O84" s="8">
        <f t="shared" si="41"/>
        <v>749.65332881920335</v>
      </c>
      <c r="P84" s="8">
        <f t="shared" si="42"/>
        <v>749.65332881920335</v>
      </c>
      <c r="Q84" s="8">
        <f t="shared" si="43"/>
        <v>749.65332881920335</v>
      </c>
      <c r="R84" s="8">
        <f t="shared" si="44"/>
        <v>749.65332881920335</v>
      </c>
      <c r="S84" s="8">
        <f t="shared" si="45"/>
        <v>749.65332881920335</v>
      </c>
      <c r="T84" s="8">
        <f t="shared" si="46"/>
        <v>749.65332881920335</v>
      </c>
      <c r="U84" s="8">
        <f t="shared" si="47"/>
        <v>749.65332881920335</v>
      </c>
      <c r="V84" s="8">
        <f t="shared" si="48"/>
        <v>749.65332881920335</v>
      </c>
      <c r="W84" s="8">
        <f t="shared" si="49"/>
        <v>749.65332881920335</v>
      </c>
      <c r="X84" s="8">
        <f t="shared" si="50"/>
        <v>749.65332881920335</v>
      </c>
      <c r="Y84" s="8">
        <f t="shared" si="51"/>
        <v>749.65332881920335</v>
      </c>
      <c r="Z84" s="8">
        <f t="shared" si="52"/>
        <v>749.65332881920335</v>
      </c>
      <c r="AA84" s="8">
        <f t="shared" si="53"/>
        <v>749.65332881920335</v>
      </c>
      <c r="AB84" s="8">
        <f t="shared" si="54"/>
        <v>749.65332881920335</v>
      </c>
      <c r="AC84" s="8">
        <f t="shared" si="55"/>
        <v>749.65332881920335</v>
      </c>
      <c r="AD84" s="8">
        <f t="shared" si="56"/>
        <v>749.65332881920335</v>
      </c>
      <c r="AE84" s="8">
        <f t="shared" si="57"/>
        <v>749.65332881920335</v>
      </c>
      <c r="AF84" s="8">
        <f t="shared" si="58"/>
        <v>749.65332881920335</v>
      </c>
      <c r="AG84" s="8">
        <f t="shared" si="59"/>
        <v>749.65332881920335</v>
      </c>
      <c r="AH84" s="8">
        <f t="shared" si="60"/>
        <v>749.65332881920335</v>
      </c>
      <c r="AI84" s="8">
        <f t="shared" si="61"/>
        <v>749.65332881920335</v>
      </c>
      <c r="AJ84" s="8">
        <f t="shared" si="62"/>
        <v>749.65332881920335</v>
      </c>
      <c r="AK84" s="8">
        <f t="shared" si="63"/>
        <v>749.65332881920335</v>
      </c>
      <c r="AL84" s="8">
        <f t="shared" si="64"/>
        <v>749.65332881920335</v>
      </c>
      <c r="AM84" s="8">
        <f t="shared" si="65"/>
        <v>749.65332881920335</v>
      </c>
      <c r="AN84" s="8">
        <f t="shared" si="66"/>
        <v>749.65332881920335</v>
      </c>
      <c r="AO84" s="8">
        <f t="shared" si="67"/>
        <v>749.65332881920335</v>
      </c>
      <c r="AP84" s="8">
        <f t="shared" si="68"/>
        <v>749.65332881920335</v>
      </c>
      <c r="AQ84" s="8">
        <f t="shared" si="69"/>
        <v>749.65332881920335</v>
      </c>
      <c r="AR84" s="8">
        <f t="shared" si="70"/>
        <v>749.65332881920335</v>
      </c>
      <c r="AS84" s="8">
        <f t="shared" si="71"/>
        <v>749.65332881920335</v>
      </c>
      <c r="AT84" s="8">
        <f t="shared" si="72"/>
        <v>749.65332881920335</v>
      </c>
      <c r="AU84" s="8">
        <f t="shared" si="73"/>
        <v>749.65332881920335</v>
      </c>
      <c r="AV84" s="8">
        <f t="shared" si="74"/>
        <v>749.65332881920335</v>
      </c>
    </row>
    <row r="85" spans="1:48">
      <c r="A85" s="4" t="s">
        <v>17</v>
      </c>
      <c r="B85" s="176" t="s">
        <v>253</v>
      </c>
      <c r="C85" s="96" t="str">
        <f t="shared" si="35"/>
        <v>Commercial - Refrigeration</v>
      </c>
      <c r="D85" s="96" t="s">
        <v>76</v>
      </c>
      <c r="E85" s="107">
        <f t="shared" si="75"/>
        <v>222.61251585750318</v>
      </c>
      <c r="F85" s="120">
        <f t="shared" si="75"/>
        <v>182.3637763625085</v>
      </c>
      <c r="G85" s="120">
        <f t="shared" si="36"/>
        <v>182.3637763625085</v>
      </c>
      <c r="H85" s="120">
        <f t="shared" si="76"/>
        <v>182.3637763625085</v>
      </c>
      <c r="I85" s="180">
        <f t="shared" si="37"/>
        <v>182.3637763625085</v>
      </c>
      <c r="J85" s="8">
        <f t="shared" si="77"/>
        <v>222.61251585750318</v>
      </c>
      <c r="K85" s="8">
        <f t="shared" si="78"/>
        <v>214.56276795850425</v>
      </c>
      <c r="L85" s="8">
        <f t="shared" si="38"/>
        <v>206.51302005950532</v>
      </c>
      <c r="M85" s="8">
        <f t="shared" si="39"/>
        <v>198.46327216050639</v>
      </c>
      <c r="N85" s="8">
        <f t="shared" si="40"/>
        <v>190.41352426150746</v>
      </c>
      <c r="O85" s="8">
        <f t="shared" si="41"/>
        <v>182.3637763625085</v>
      </c>
      <c r="P85" s="8">
        <f t="shared" si="42"/>
        <v>182.3637763625085</v>
      </c>
      <c r="Q85" s="8">
        <f t="shared" si="43"/>
        <v>182.3637763625085</v>
      </c>
      <c r="R85" s="8">
        <f t="shared" si="44"/>
        <v>182.3637763625085</v>
      </c>
      <c r="S85" s="8">
        <f t="shared" si="45"/>
        <v>182.3637763625085</v>
      </c>
      <c r="T85" s="8">
        <f t="shared" si="46"/>
        <v>182.3637763625085</v>
      </c>
      <c r="U85" s="8">
        <f t="shared" si="47"/>
        <v>182.3637763625085</v>
      </c>
      <c r="V85" s="8">
        <f t="shared" si="48"/>
        <v>182.3637763625085</v>
      </c>
      <c r="W85" s="8">
        <f t="shared" si="49"/>
        <v>182.3637763625085</v>
      </c>
      <c r="X85" s="8">
        <f t="shared" si="50"/>
        <v>182.3637763625085</v>
      </c>
      <c r="Y85" s="8">
        <f t="shared" si="51"/>
        <v>182.3637763625085</v>
      </c>
      <c r="Z85" s="8">
        <f t="shared" si="52"/>
        <v>182.3637763625085</v>
      </c>
      <c r="AA85" s="8">
        <f t="shared" si="53"/>
        <v>182.3637763625085</v>
      </c>
      <c r="AB85" s="8">
        <f t="shared" si="54"/>
        <v>182.3637763625085</v>
      </c>
      <c r="AC85" s="8">
        <f t="shared" si="55"/>
        <v>182.3637763625085</v>
      </c>
      <c r="AD85" s="8">
        <f t="shared" si="56"/>
        <v>182.3637763625085</v>
      </c>
      <c r="AE85" s="8">
        <f t="shared" si="57"/>
        <v>182.3637763625085</v>
      </c>
      <c r="AF85" s="8">
        <f t="shared" si="58"/>
        <v>182.3637763625085</v>
      </c>
      <c r="AG85" s="8">
        <f t="shared" si="59"/>
        <v>182.3637763625085</v>
      </c>
      <c r="AH85" s="8">
        <f t="shared" si="60"/>
        <v>182.3637763625085</v>
      </c>
      <c r="AI85" s="8">
        <f t="shared" si="61"/>
        <v>182.3637763625085</v>
      </c>
      <c r="AJ85" s="8">
        <f t="shared" si="62"/>
        <v>182.3637763625085</v>
      </c>
      <c r="AK85" s="8">
        <f t="shared" si="63"/>
        <v>182.3637763625085</v>
      </c>
      <c r="AL85" s="8">
        <f t="shared" si="64"/>
        <v>182.3637763625085</v>
      </c>
      <c r="AM85" s="8">
        <f t="shared" si="65"/>
        <v>182.3637763625085</v>
      </c>
      <c r="AN85" s="8">
        <f t="shared" si="66"/>
        <v>182.3637763625085</v>
      </c>
      <c r="AO85" s="8">
        <f t="shared" si="67"/>
        <v>182.3637763625085</v>
      </c>
      <c r="AP85" s="8">
        <f t="shared" si="68"/>
        <v>182.3637763625085</v>
      </c>
      <c r="AQ85" s="8">
        <f t="shared" si="69"/>
        <v>182.3637763625085</v>
      </c>
      <c r="AR85" s="8">
        <f t="shared" si="70"/>
        <v>182.3637763625085</v>
      </c>
      <c r="AS85" s="8">
        <f t="shared" si="71"/>
        <v>182.3637763625085</v>
      </c>
      <c r="AT85" s="8">
        <f t="shared" si="72"/>
        <v>182.3637763625085</v>
      </c>
      <c r="AU85" s="8">
        <f t="shared" si="73"/>
        <v>182.3637763625085</v>
      </c>
      <c r="AV85" s="8">
        <f t="shared" si="74"/>
        <v>182.3637763625085</v>
      </c>
    </row>
    <row r="86" spans="1:48">
      <c r="A86" s="4" t="s">
        <v>17</v>
      </c>
      <c r="B86" s="176" t="s">
        <v>254</v>
      </c>
      <c r="C86" s="96" t="str">
        <f t="shared" si="35"/>
        <v>Commercial - Water Heating</v>
      </c>
      <c r="D86" s="96" t="s">
        <v>76</v>
      </c>
      <c r="E86" s="107">
        <f t="shared" si="75"/>
        <v>72.906473658117989</v>
      </c>
      <c r="F86" s="120">
        <f t="shared" si="75"/>
        <v>95.064371557095555</v>
      </c>
      <c r="G86" s="120">
        <f t="shared" si="36"/>
        <v>95.064371557095555</v>
      </c>
      <c r="H86" s="120">
        <f t="shared" si="76"/>
        <v>95.064371557095555</v>
      </c>
      <c r="I86" s="180">
        <f t="shared" si="37"/>
        <v>95.064371557095555</v>
      </c>
      <c r="J86" s="8">
        <f t="shared" si="77"/>
        <v>72.906473658117989</v>
      </c>
      <c r="K86" s="8">
        <f t="shared" si="78"/>
        <v>77.338053237913499</v>
      </c>
      <c r="L86" s="8">
        <f t="shared" si="38"/>
        <v>81.769632817709009</v>
      </c>
      <c r="M86" s="8">
        <f t="shared" si="39"/>
        <v>86.20121239750452</v>
      </c>
      <c r="N86" s="8">
        <f t="shared" si="40"/>
        <v>90.63279197730003</v>
      </c>
      <c r="O86" s="8">
        <f t="shared" si="41"/>
        <v>95.064371557095555</v>
      </c>
      <c r="P86" s="8">
        <f t="shared" si="42"/>
        <v>95.064371557095555</v>
      </c>
      <c r="Q86" s="8">
        <f t="shared" si="43"/>
        <v>95.064371557095555</v>
      </c>
      <c r="R86" s="8">
        <f t="shared" si="44"/>
        <v>95.064371557095555</v>
      </c>
      <c r="S86" s="8">
        <f t="shared" si="45"/>
        <v>95.064371557095555</v>
      </c>
      <c r="T86" s="8">
        <f t="shared" si="46"/>
        <v>95.064371557095555</v>
      </c>
      <c r="U86" s="8">
        <f t="shared" si="47"/>
        <v>95.064371557095555</v>
      </c>
      <c r="V86" s="8">
        <f t="shared" si="48"/>
        <v>95.064371557095555</v>
      </c>
      <c r="W86" s="8">
        <f t="shared" si="49"/>
        <v>95.064371557095555</v>
      </c>
      <c r="X86" s="8">
        <f t="shared" si="50"/>
        <v>95.064371557095555</v>
      </c>
      <c r="Y86" s="8">
        <f t="shared" si="51"/>
        <v>95.064371557095555</v>
      </c>
      <c r="Z86" s="8">
        <f t="shared" si="52"/>
        <v>95.064371557095555</v>
      </c>
      <c r="AA86" s="8">
        <f t="shared" si="53"/>
        <v>95.064371557095555</v>
      </c>
      <c r="AB86" s="8">
        <f t="shared" si="54"/>
        <v>95.064371557095555</v>
      </c>
      <c r="AC86" s="8">
        <f t="shared" si="55"/>
        <v>95.064371557095555</v>
      </c>
      <c r="AD86" s="8">
        <f t="shared" si="56"/>
        <v>95.064371557095555</v>
      </c>
      <c r="AE86" s="8">
        <f t="shared" si="57"/>
        <v>95.064371557095555</v>
      </c>
      <c r="AF86" s="8">
        <f t="shared" si="58"/>
        <v>95.064371557095555</v>
      </c>
      <c r="AG86" s="8">
        <f t="shared" si="59"/>
        <v>95.064371557095555</v>
      </c>
      <c r="AH86" s="8">
        <f t="shared" si="60"/>
        <v>95.064371557095555</v>
      </c>
      <c r="AI86" s="8">
        <f t="shared" si="61"/>
        <v>95.064371557095555</v>
      </c>
      <c r="AJ86" s="8">
        <f t="shared" si="62"/>
        <v>95.064371557095555</v>
      </c>
      <c r="AK86" s="8">
        <f t="shared" si="63"/>
        <v>95.064371557095555</v>
      </c>
      <c r="AL86" s="8">
        <f t="shared" si="64"/>
        <v>95.064371557095555</v>
      </c>
      <c r="AM86" s="8">
        <f t="shared" si="65"/>
        <v>95.064371557095555</v>
      </c>
      <c r="AN86" s="8">
        <f t="shared" si="66"/>
        <v>95.064371557095555</v>
      </c>
      <c r="AO86" s="8">
        <f t="shared" si="67"/>
        <v>95.064371557095555</v>
      </c>
      <c r="AP86" s="8">
        <f t="shared" si="68"/>
        <v>95.064371557095555</v>
      </c>
      <c r="AQ86" s="8">
        <f t="shared" si="69"/>
        <v>95.064371557095555</v>
      </c>
      <c r="AR86" s="8">
        <f t="shared" si="70"/>
        <v>95.064371557095555</v>
      </c>
      <c r="AS86" s="8">
        <f t="shared" si="71"/>
        <v>95.064371557095555</v>
      </c>
      <c r="AT86" s="8">
        <f t="shared" si="72"/>
        <v>95.064371557095555</v>
      </c>
      <c r="AU86" s="8">
        <f t="shared" si="73"/>
        <v>95.064371557095555</v>
      </c>
      <c r="AV86" s="8">
        <f t="shared" si="74"/>
        <v>95.064371557095555</v>
      </c>
    </row>
    <row r="87" spans="1:48">
      <c r="A87" s="4" t="s">
        <v>17</v>
      </c>
      <c r="B87" s="176" t="s">
        <v>255</v>
      </c>
      <c r="C87" s="124" t="str">
        <f t="shared" si="35"/>
        <v>Commercial - Public lights</v>
      </c>
      <c r="D87" s="124" t="s">
        <v>76</v>
      </c>
      <c r="E87" s="206">
        <f t="shared" si="75"/>
        <v>0</v>
      </c>
      <c r="F87" s="120">
        <f t="shared" si="75"/>
        <v>0</v>
      </c>
      <c r="G87" s="207">
        <f t="shared" si="36"/>
        <v>0</v>
      </c>
      <c r="H87" s="120">
        <f t="shared" si="76"/>
        <v>0</v>
      </c>
      <c r="I87" s="208">
        <f t="shared" si="37"/>
        <v>0</v>
      </c>
      <c r="J87" s="8">
        <f t="shared" si="77"/>
        <v>0</v>
      </c>
      <c r="K87" s="8">
        <f t="shared" si="78"/>
        <v>0</v>
      </c>
      <c r="L87" s="8">
        <f t="shared" si="38"/>
        <v>0</v>
      </c>
      <c r="M87" s="8">
        <f>IF(M$8=-1,N87,IF(M$8=99,L87,IF(M$8=0,INDEX($E87:$I87,0,M$6),(INDEX($E87:$I87,0,M$8+1)-INDEX($E87:$I87,0,M$8))/(INDEX($D$5:$H$5,0,M$8+1)-INDEX($D$5:$H$5,0,M$8))+L87)))</f>
        <v>0</v>
      </c>
      <c r="N87" s="8">
        <f t="shared" si="40"/>
        <v>0</v>
      </c>
      <c r="O87" s="8">
        <f t="shared" si="41"/>
        <v>0</v>
      </c>
      <c r="P87" s="8">
        <f t="shared" si="42"/>
        <v>0</v>
      </c>
      <c r="Q87" s="8">
        <f t="shared" si="43"/>
        <v>0</v>
      </c>
      <c r="R87" s="8">
        <f t="shared" si="44"/>
        <v>0</v>
      </c>
      <c r="S87" s="8">
        <f t="shared" si="45"/>
        <v>0</v>
      </c>
      <c r="T87" s="8">
        <f t="shared" si="46"/>
        <v>0</v>
      </c>
      <c r="U87" s="8">
        <f t="shared" si="47"/>
        <v>0</v>
      </c>
      <c r="V87" s="8">
        <f t="shared" si="48"/>
        <v>0</v>
      </c>
      <c r="W87" s="8">
        <f t="shared" si="49"/>
        <v>0</v>
      </c>
      <c r="X87" s="8">
        <f t="shared" si="50"/>
        <v>0</v>
      </c>
      <c r="Y87" s="8">
        <f t="shared" si="51"/>
        <v>0</v>
      </c>
      <c r="Z87" s="8">
        <f t="shared" si="52"/>
        <v>0</v>
      </c>
      <c r="AA87" s="8">
        <f t="shared" si="53"/>
        <v>0</v>
      </c>
      <c r="AB87" s="8">
        <f t="shared" si="54"/>
        <v>0</v>
      </c>
      <c r="AC87" s="8">
        <f t="shared" si="55"/>
        <v>0</v>
      </c>
      <c r="AD87" s="8">
        <f t="shared" si="56"/>
        <v>0</v>
      </c>
      <c r="AE87" s="8">
        <f t="shared" si="57"/>
        <v>0</v>
      </c>
      <c r="AF87" s="8">
        <f t="shared" si="58"/>
        <v>0</v>
      </c>
      <c r="AG87" s="8">
        <f t="shared" si="59"/>
        <v>0</v>
      </c>
      <c r="AH87" s="8">
        <f t="shared" si="60"/>
        <v>0</v>
      </c>
      <c r="AI87" s="8">
        <f t="shared" si="61"/>
        <v>0</v>
      </c>
      <c r="AJ87" s="8">
        <f t="shared" si="62"/>
        <v>0</v>
      </c>
      <c r="AK87" s="8">
        <f t="shared" si="63"/>
        <v>0</v>
      </c>
      <c r="AL87" s="8">
        <f t="shared" si="64"/>
        <v>0</v>
      </c>
      <c r="AM87" s="8">
        <f t="shared" si="65"/>
        <v>0</v>
      </c>
      <c r="AN87" s="8">
        <f t="shared" si="66"/>
        <v>0</v>
      </c>
      <c r="AO87" s="8">
        <f t="shared" si="67"/>
        <v>0</v>
      </c>
      <c r="AP87" s="8">
        <f t="shared" si="68"/>
        <v>0</v>
      </c>
      <c r="AQ87" s="8">
        <f t="shared" si="69"/>
        <v>0</v>
      </c>
      <c r="AR87" s="8">
        <f t="shared" si="70"/>
        <v>0</v>
      </c>
      <c r="AS87" s="8">
        <f t="shared" si="71"/>
        <v>0</v>
      </c>
      <c r="AT87" s="8">
        <f t="shared" si="72"/>
        <v>0</v>
      </c>
      <c r="AU87" s="8">
        <f t="shared" si="73"/>
        <v>0</v>
      </c>
      <c r="AV87" s="8">
        <f t="shared" si="74"/>
        <v>0</v>
      </c>
    </row>
    <row r="88" spans="1:48">
      <c r="A88" s="4" t="s">
        <v>17</v>
      </c>
      <c r="B88" s="176" t="s">
        <v>256</v>
      </c>
      <c r="C88" s="124" t="str">
        <f t="shared" si="35"/>
        <v>Commercial - Public Water</v>
      </c>
      <c r="D88" s="124" t="s">
        <v>76</v>
      </c>
      <c r="E88" s="206">
        <f t="shared" si="75"/>
        <v>0</v>
      </c>
      <c r="F88" s="120">
        <f t="shared" si="75"/>
        <v>0</v>
      </c>
      <c r="G88" s="207">
        <f t="shared" si="36"/>
        <v>0</v>
      </c>
      <c r="H88" s="120">
        <f t="shared" si="76"/>
        <v>0</v>
      </c>
      <c r="I88" s="208">
        <f t="shared" si="37"/>
        <v>0</v>
      </c>
      <c r="J88" s="8">
        <f t="shared" si="77"/>
        <v>0</v>
      </c>
      <c r="K88" s="8">
        <f t="shared" si="78"/>
        <v>0</v>
      </c>
      <c r="L88" s="8">
        <f t="shared" si="38"/>
        <v>0</v>
      </c>
      <c r="M88" s="8">
        <f>IF(M$8=-1,N88,IF(M$8=99,L88,IF(M$8=0,INDEX($E88:$I88,0,M$6),(INDEX($E88:$I88,0,M$8+1)-INDEX($E88:$I88,0,M$8))/(INDEX($D$5:$H$5,0,M$8+1)-INDEX($D$5:$H$5,0,M$8))+L88)))</f>
        <v>0</v>
      </c>
      <c r="N88" s="8">
        <f t="shared" si="40"/>
        <v>0</v>
      </c>
      <c r="O88" s="8">
        <f t="shared" si="41"/>
        <v>0</v>
      </c>
      <c r="P88" s="8">
        <f t="shared" si="42"/>
        <v>0</v>
      </c>
      <c r="Q88" s="8">
        <f t="shared" si="43"/>
        <v>0</v>
      </c>
      <c r="R88" s="8">
        <f t="shared" si="44"/>
        <v>0</v>
      </c>
      <c r="S88" s="8">
        <f t="shared" si="45"/>
        <v>0</v>
      </c>
      <c r="T88" s="8">
        <f t="shared" si="46"/>
        <v>0</v>
      </c>
      <c r="U88" s="8">
        <f t="shared" si="47"/>
        <v>0</v>
      </c>
      <c r="V88" s="8">
        <f t="shared" si="48"/>
        <v>0</v>
      </c>
      <c r="W88" s="8">
        <f t="shared" si="49"/>
        <v>0</v>
      </c>
      <c r="X88" s="8">
        <f t="shared" si="50"/>
        <v>0</v>
      </c>
      <c r="Y88" s="8">
        <f t="shared" si="51"/>
        <v>0</v>
      </c>
      <c r="Z88" s="8">
        <f t="shared" si="52"/>
        <v>0</v>
      </c>
      <c r="AA88" s="8">
        <f t="shared" si="53"/>
        <v>0</v>
      </c>
      <c r="AB88" s="8">
        <f t="shared" si="54"/>
        <v>0</v>
      </c>
      <c r="AC88" s="8">
        <f t="shared" si="55"/>
        <v>0</v>
      </c>
      <c r="AD88" s="8">
        <f t="shared" si="56"/>
        <v>0</v>
      </c>
      <c r="AE88" s="8">
        <f t="shared" si="57"/>
        <v>0</v>
      </c>
      <c r="AF88" s="8">
        <f t="shared" si="58"/>
        <v>0</v>
      </c>
      <c r="AG88" s="8">
        <f t="shared" si="59"/>
        <v>0</v>
      </c>
      <c r="AH88" s="8">
        <f t="shared" si="60"/>
        <v>0</v>
      </c>
      <c r="AI88" s="8">
        <f t="shared" si="61"/>
        <v>0</v>
      </c>
      <c r="AJ88" s="8">
        <f t="shared" si="62"/>
        <v>0</v>
      </c>
      <c r="AK88" s="8">
        <f t="shared" si="63"/>
        <v>0</v>
      </c>
      <c r="AL88" s="8">
        <f t="shared" si="64"/>
        <v>0</v>
      </c>
      <c r="AM88" s="8">
        <f t="shared" si="65"/>
        <v>0</v>
      </c>
      <c r="AN88" s="8">
        <f t="shared" si="66"/>
        <v>0</v>
      </c>
      <c r="AO88" s="8">
        <f t="shared" si="67"/>
        <v>0</v>
      </c>
      <c r="AP88" s="8">
        <f t="shared" si="68"/>
        <v>0</v>
      </c>
      <c r="AQ88" s="8">
        <f t="shared" si="69"/>
        <v>0</v>
      </c>
      <c r="AR88" s="8">
        <f t="shared" si="70"/>
        <v>0</v>
      </c>
      <c r="AS88" s="8">
        <f t="shared" si="71"/>
        <v>0</v>
      </c>
      <c r="AT88" s="8">
        <f t="shared" si="72"/>
        <v>0</v>
      </c>
      <c r="AU88" s="8">
        <f t="shared" si="73"/>
        <v>0</v>
      </c>
      <c r="AV88" s="8">
        <f t="shared" si="74"/>
        <v>0</v>
      </c>
    </row>
    <row r="89" spans="1:48">
      <c r="A89" s="4" t="s">
        <v>17</v>
      </c>
      <c r="B89" s="176" t="s">
        <v>257</v>
      </c>
      <c r="C89" s="96" t="str">
        <f t="shared" si="35"/>
        <v>Commercial - Other</v>
      </c>
      <c r="D89" s="102" t="s">
        <v>76</v>
      </c>
      <c r="E89" s="107">
        <f t="shared" si="75"/>
        <v>141.24997285391134</v>
      </c>
      <c r="F89" s="120">
        <f t="shared" si="75"/>
        <v>121.74469401620277</v>
      </c>
      <c r="G89" s="120">
        <f t="shared" si="36"/>
        <v>121.74469401620277</v>
      </c>
      <c r="H89" s="120">
        <f t="shared" si="76"/>
        <v>121.74469401620277</v>
      </c>
      <c r="I89" s="180">
        <f t="shared" si="37"/>
        <v>121.74469401620277</v>
      </c>
      <c r="J89" s="8">
        <f t="shared" si="77"/>
        <v>141.24997285391134</v>
      </c>
      <c r="K89" s="8">
        <f t="shared" si="78"/>
        <v>137.34891708636962</v>
      </c>
      <c r="L89" s="8">
        <f t="shared" si="38"/>
        <v>133.4478613188279</v>
      </c>
      <c r="M89" s="8">
        <f>IF(M$8=-1,N89,IF(M$8=99,L89,IF(M$8=0,INDEX($E89:$I89,0,M$6),(INDEX($E89:$I89,0,M$8+1)-INDEX($E89:$I89,0,M$8))/(INDEX($D$5:$H$5,0,M$8+1)-INDEX($D$5:$H$5,0,M$8))+L89)))</f>
        <v>129.54680555128618</v>
      </c>
      <c r="N89" s="8">
        <f t="shared" si="40"/>
        <v>125.64574978374446</v>
      </c>
      <c r="O89" s="8">
        <f t="shared" si="41"/>
        <v>121.74469401620277</v>
      </c>
      <c r="P89" s="8">
        <f t="shared" si="42"/>
        <v>121.74469401620277</v>
      </c>
      <c r="Q89" s="8">
        <f t="shared" si="43"/>
        <v>121.74469401620277</v>
      </c>
      <c r="R89" s="8">
        <f t="shared" si="44"/>
        <v>121.74469401620277</v>
      </c>
      <c r="S89" s="8">
        <f t="shared" si="45"/>
        <v>121.74469401620277</v>
      </c>
      <c r="T89" s="8">
        <f t="shared" si="46"/>
        <v>121.74469401620277</v>
      </c>
      <c r="U89" s="8">
        <f t="shared" si="47"/>
        <v>121.74469401620277</v>
      </c>
      <c r="V89" s="8">
        <f t="shared" si="48"/>
        <v>121.74469401620277</v>
      </c>
      <c r="W89" s="8">
        <f t="shared" si="49"/>
        <v>121.74469401620277</v>
      </c>
      <c r="X89" s="8">
        <f t="shared" si="50"/>
        <v>121.74469401620277</v>
      </c>
      <c r="Y89" s="8">
        <f t="shared" si="51"/>
        <v>121.74469401620277</v>
      </c>
      <c r="Z89" s="8">
        <f t="shared" si="52"/>
        <v>121.74469401620277</v>
      </c>
      <c r="AA89" s="8">
        <f t="shared" si="53"/>
        <v>121.74469401620277</v>
      </c>
      <c r="AB89" s="8">
        <f t="shared" si="54"/>
        <v>121.74469401620277</v>
      </c>
      <c r="AC89" s="8">
        <f t="shared" si="55"/>
        <v>121.74469401620277</v>
      </c>
      <c r="AD89" s="8">
        <f t="shared" si="56"/>
        <v>121.74469401620277</v>
      </c>
      <c r="AE89" s="8">
        <f t="shared" si="57"/>
        <v>121.74469401620277</v>
      </c>
      <c r="AF89" s="8">
        <f t="shared" si="58"/>
        <v>121.74469401620277</v>
      </c>
      <c r="AG89" s="8">
        <f t="shared" si="59"/>
        <v>121.74469401620277</v>
      </c>
      <c r="AH89" s="8">
        <f t="shared" si="60"/>
        <v>121.74469401620277</v>
      </c>
      <c r="AI89" s="8">
        <f t="shared" si="61"/>
        <v>121.74469401620277</v>
      </c>
      <c r="AJ89" s="8">
        <f t="shared" si="62"/>
        <v>121.74469401620277</v>
      </c>
      <c r="AK89" s="8">
        <f t="shared" si="63"/>
        <v>121.74469401620277</v>
      </c>
      <c r="AL89" s="8">
        <f t="shared" si="64"/>
        <v>121.74469401620277</v>
      </c>
      <c r="AM89" s="8">
        <f t="shared" si="65"/>
        <v>121.74469401620277</v>
      </c>
      <c r="AN89" s="8">
        <f t="shared" si="66"/>
        <v>121.74469401620277</v>
      </c>
      <c r="AO89" s="8">
        <f t="shared" si="67"/>
        <v>121.74469401620277</v>
      </c>
      <c r="AP89" s="8">
        <f t="shared" si="68"/>
        <v>121.74469401620277</v>
      </c>
      <c r="AQ89" s="8">
        <f t="shared" si="69"/>
        <v>121.74469401620277</v>
      </c>
      <c r="AR89" s="8">
        <f t="shared" si="70"/>
        <v>121.74469401620277</v>
      </c>
      <c r="AS89" s="8">
        <f t="shared" si="71"/>
        <v>121.74469401620277</v>
      </c>
      <c r="AT89" s="8">
        <f t="shared" si="72"/>
        <v>121.74469401620277</v>
      </c>
      <c r="AU89" s="8">
        <f t="shared" si="73"/>
        <v>121.74469401620277</v>
      </c>
      <c r="AV89" s="8">
        <f t="shared" si="74"/>
        <v>121.74469401620277</v>
      </c>
    </row>
    <row r="90" spans="1:48">
      <c r="A90" s="4" t="s">
        <v>17</v>
      </c>
      <c r="B90" s="176"/>
      <c r="D90" s="102"/>
      <c r="E90" s="102"/>
      <c r="F90" s="102"/>
      <c r="G90" s="102"/>
      <c r="H90" s="102"/>
      <c r="I90" s="186"/>
      <c r="J90" s="102"/>
      <c r="K90" s="102"/>
      <c r="L90" s="102"/>
      <c r="M90" s="102"/>
      <c r="N90" s="102"/>
      <c r="O90" s="102"/>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 thickBot="1">
      <c r="A91" s="4" t="s">
        <v>17</v>
      </c>
      <c r="B91" s="117" t="s">
        <v>520</v>
      </c>
      <c r="C91" s="93"/>
      <c r="D91" s="94"/>
      <c r="E91" s="118"/>
      <c r="F91" s="118"/>
      <c r="G91" s="118"/>
      <c r="H91" s="217">
        <f>VLOOKUP($AZ$75,$AY$70:$BC$73,4)</f>
        <v>0</v>
      </c>
      <c r="I91" s="218">
        <f>VLOOKUP($AZ$75,$AY$70:$BC$73,5)</f>
        <v>0</v>
      </c>
      <c r="J91" s="102"/>
      <c r="K91" s="102"/>
      <c r="L91" s="102"/>
      <c r="M91" s="102"/>
      <c r="N91" s="102"/>
      <c r="O91" s="102"/>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4" t="s">
        <v>17</v>
      </c>
      <c r="B92" s="176" t="str">
        <f>B70</f>
        <v>CEC</v>
      </c>
      <c r="C92" s="96" t="str">
        <f t="shared" ref="C92:C100" si="79">C81</f>
        <v>Commercial - Cooling</v>
      </c>
      <c r="D92" s="96" t="s">
        <v>76</v>
      </c>
      <c r="E92" s="107">
        <f>E81</f>
        <v>1051.567060091292</v>
      </c>
      <c r="F92" s="120">
        <f>F81</f>
        <v>861.441862053352</v>
      </c>
      <c r="G92" s="120">
        <f t="shared" ref="G92:G100" si="80">F92</f>
        <v>861.441862053352</v>
      </c>
      <c r="H92" s="120">
        <f t="shared" ref="H92:H97" si="81">G92*(1+$H$91)</f>
        <v>861.441862053352</v>
      </c>
      <c r="I92" s="180">
        <f>H92</f>
        <v>861.441862053352</v>
      </c>
      <c r="J92" s="8">
        <f>IF(J$8=-1,K92,IF(J$8=99,I92,IF(J$8=0,INDEX($E92:$I92,0,J$6),(INDEX($E92:$I92,0,J$8+1)-INDEX($E92:$I92,0,J$8))/(INDEX($D$5:$H$5,0,J$8+1)-INDEX($D$5:$H$5,0,J$8))+I92)))</f>
        <v>1051.567060091292</v>
      </c>
      <c r="K92" s="8">
        <f>IF(K$8=-1,L92,IF(K$8=99,J92,IF(K$8=0,INDEX($E92:$I92,0,K$6),(INDEX($E92:$I92,0,K$8+1)-INDEX($E92:$I92,0,K$8))/(INDEX($D$5:$H$5,0,K$8+1)-INDEX($D$5:$H$5,0,K$8))+J92)))</f>
        <v>1013.5420204837039</v>
      </c>
      <c r="L92" s="8">
        <f t="shared" ref="L92:L100" si="82">IF(L$8=-1,M92,IF(L$8=99,K92,IF(L$8=0,INDEX($E92:$I92,0,L$6),(INDEX($E92:$I92,0,L$8+1)-INDEX($E92:$I92,0,L$8))/(INDEX($D$5:$H$5,0,L$8+1)-INDEX($D$5:$H$5,0,L$8))+K92)))</f>
        <v>975.51698087611589</v>
      </c>
      <c r="M92" s="8">
        <f t="shared" ref="M92:M97" si="83">IF(M$8=-1,N92,IF(M$8=99,L92,IF(M$8=0,INDEX($E92:$I92,0,M$6),(INDEX($E92:$I92,0,M$8+1)-INDEX($E92:$I92,0,M$8))/(INDEX($D$5:$H$5,0,M$8+1)-INDEX($D$5:$H$5,0,M$8))+L92)))</f>
        <v>937.49194126852785</v>
      </c>
      <c r="N92" s="8">
        <f t="shared" ref="N92:N100" si="84">IF(N$8=-1,O92,IF(N$8=99,M92,IF(N$8=0,INDEX($E92:$I92,0,N$6),(INDEX($E92:$I92,0,N$8+1)-INDEX($E92:$I92,0,N$8))/(INDEX($D$5:$H$5,0,N$8+1)-INDEX($D$5:$H$5,0,N$8))+M92)))</f>
        <v>899.46690166093981</v>
      </c>
      <c r="O92" s="8">
        <f t="shared" ref="O92:O100" si="85">IF(O$8=-1,P92,IF(O$8=99,N92,IF(O$8=0,INDEX($E92:$I92,0,O$6),(INDEX($E92:$I92,0,O$8+1)-INDEX($E92:$I92,0,O$8))/(INDEX($D$5:$H$5,0,O$8+1)-INDEX($D$5:$H$5,0,O$8))+N92)))</f>
        <v>861.441862053352</v>
      </c>
      <c r="P92" s="8">
        <f t="shared" ref="P92:P100" si="86">IF(P$8=-1,Q92,IF(P$8=99,O92,IF(P$8=0,INDEX($E92:$I92,0,P$6),(INDEX($E92:$I92,0,P$8+1)-INDEX($E92:$I92,0,P$8))/(INDEX($D$5:$H$5,0,P$8+1)-INDEX($D$5:$H$5,0,P$8))+O92)))</f>
        <v>861.441862053352</v>
      </c>
      <c r="Q92" s="8">
        <f t="shared" ref="Q92:Q100" si="87">IF(Q$8=-1,R92,IF(Q$8=99,P92,IF(Q$8=0,INDEX($E92:$I92,0,Q$6),(INDEX($E92:$I92,0,Q$8+1)-INDEX($E92:$I92,0,Q$8))/(INDEX($D$5:$H$5,0,Q$8+1)-INDEX($D$5:$H$5,0,Q$8))+P92)))</f>
        <v>861.441862053352</v>
      </c>
      <c r="R92" s="8">
        <f t="shared" ref="R92:R100" si="88">IF(R$8=-1,S92,IF(R$8=99,Q92,IF(R$8=0,INDEX($E92:$I92,0,R$6),(INDEX($E92:$I92,0,R$8+1)-INDEX($E92:$I92,0,R$8))/(INDEX($D$5:$H$5,0,R$8+1)-INDEX($D$5:$H$5,0,R$8))+Q92)))</f>
        <v>861.441862053352</v>
      </c>
      <c r="S92" s="8">
        <f t="shared" ref="S92:S100" si="89">IF(S$8=-1,T92,IF(S$8=99,R92,IF(S$8=0,INDEX($E92:$I92,0,S$6),(INDEX($E92:$I92,0,S$8+1)-INDEX($E92:$I92,0,S$8))/(INDEX($D$5:$H$5,0,S$8+1)-INDEX($D$5:$H$5,0,S$8))+R92)))</f>
        <v>861.441862053352</v>
      </c>
      <c r="T92" s="8">
        <f t="shared" ref="T92:T100" si="90">IF(T$8=-1,U92,IF(T$8=99,S92,IF(T$8=0,INDEX($E92:$I92,0,T$6),(INDEX($E92:$I92,0,T$8+1)-INDEX($E92:$I92,0,T$8))/(INDEX($D$5:$H$5,0,T$8+1)-INDEX($D$5:$H$5,0,T$8))+S92)))</f>
        <v>861.441862053352</v>
      </c>
      <c r="U92" s="8">
        <f t="shared" ref="U92:U100" si="91">IF(U$8=-1,V92,IF(U$8=99,T92,IF(U$8=0,INDEX($E92:$I92,0,U$6),(INDEX($E92:$I92,0,U$8+1)-INDEX($E92:$I92,0,U$8))/(INDEX($D$5:$H$5,0,U$8+1)-INDEX($D$5:$H$5,0,U$8))+T92)))</f>
        <v>861.441862053352</v>
      </c>
      <c r="V92" s="8">
        <f t="shared" ref="V92:V100" si="92">IF(V$8=-1,W92,IF(V$8=99,U92,IF(V$8=0,INDEX($E92:$I92,0,V$6),(INDEX($E92:$I92,0,V$8+1)-INDEX($E92:$I92,0,V$8))/(INDEX($D$5:$H$5,0,V$8+1)-INDEX($D$5:$H$5,0,V$8))+U92)))</f>
        <v>861.441862053352</v>
      </c>
      <c r="W92" s="8">
        <f t="shared" ref="W92:W100" si="93">IF(W$8=-1,X92,IF(W$8=99,V92,IF(W$8=0,INDEX($E92:$I92,0,W$6),(INDEX($E92:$I92,0,W$8+1)-INDEX($E92:$I92,0,W$8))/(INDEX($D$5:$H$5,0,W$8+1)-INDEX($D$5:$H$5,0,W$8))+V92)))</f>
        <v>861.441862053352</v>
      </c>
      <c r="X92" s="8">
        <f t="shared" ref="X92:X100" si="94">IF(X$8=-1,Y92,IF(X$8=99,W92,IF(X$8=0,INDEX($E92:$I92,0,X$6),(INDEX($E92:$I92,0,X$8+1)-INDEX($E92:$I92,0,X$8))/(INDEX($D$5:$H$5,0,X$8+1)-INDEX($D$5:$H$5,0,X$8))+W92)))</f>
        <v>861.441862053352</v>
      </c>
      <c r="Y92" s="8">
        <f t="shared" ref="Y92:Y100" si="95">IF(Y$8=-1,Z92,IF(Y$8=99,X92,IF(Y$8=0,INDEX($E92:$I92,0,Y$6),(INDEX($E92:$I92,0,Y$8+1)-INDEX($E92:$I92,0,Y$8))/(INDEX($D$5:$H$5,0,Y$8+1)-INDEX($D$5:$H$5,0,Y$8))+X92)))</f>
        <v>861.441862053352</v>
      </c>
      <c r="Z92" s="8">
        <f t="shared" ref="Z92:Z100" si="96">IF(Z$8=-1,AA92,IF(Z$8=99,Y92,IF(Z$8=0,INDEX($E92:$I92,0,Z$6),(INDEX($E92:$I92,0,Z$8+1)-INDEX($E92:$I92,0,Z$8))/(INDEX($D$5:$H$5,0,Z$8+1)-INDEX($D$5:$H$5,0,Z$8))+Y92)))</f>
        <v>861.441862053352</v>
      </c>
      <c r="AA92" s="8">
        <f t="shared" ref="AA92:AA100" si="97">IF(AA$8=-1,AB92,IF(AA$8=99,Z92,IF(AA$8=0,INDEX($E92:$I92,0,AA$6),(INDEX($E92:$I92,0,AA$8+1)-INDEX($E92:$I92,0,AA$8))/(INDEX($D$5:$H$5,0,AA$8+1)-INDEX($D$5:$H$5,0,AA$8))+Z92)))</f>
        <v>861.441862053352</v>
      </c>
      <c r="AB92" s="8">
        <f t="shared" ref="AB92:AB100" si="98">IF(AB$8=-1,AC92,IF(AB$8=99,AA92,IF(AB$8=0,INDEX($E92:$I92,0,AB$6),(INDEX($E92:$I92,0,AB$8+1)-INDEX($E92:$I92,0,AB$8))/(INDEX($D$5:$H$5,0,AB$8+1)-INDEX($D$5:$H$5,0,AB$8))+AA92)))</f>
        <v>861.441862053352</v>
      </c>
      <c r="AC92" s="8">
        <f t="shared" ref="AC92:AC100" si="99">IF(AC$8=-1,AD92,IF(AC$8=99,AB92,IF(AC$8=0,INDEX($E92:$I92,0,AC$6),(INDEX($E92:$I92,0,AC$8+1)-INDEX($E92:$I92,0,AC$8))/(INDEX($D$5:$H$5,0,AC$8+1)-INDEX($D$5:$H$5,0,AC$8))+AB92)))</f>
        <v>861.441862053352</v>
      </c>
      <c r="AD92" s="8">
        <f t="shared" ref="AD92:AD100" si="100">IF(AD$8=-1,AE92,IF(AD$8=99,AC92,IF(AD$8=0,INDEX($E92:$I92,0,AD$6),(INDEX($E92:$I92,0,AD$8+1)-INDEX($E92:$I92,0,AD$8))/(INDEX($D$5:$H$5,0,AD$8+1)-INDEX($D$5:$H$5,0,AD$8))+AC92)))</f>
        <v>861.441862053352</v>
      </c>
      <c r="AE92" s="8">
        <f t="shared" ref="AE92:AE100" si="101">IF(AE$8=-1,AF92,IF(AE$8=99,AD92,IF(AE$8=0,INDEX($E92:$I92,0,AE$6),(INDEX($E92:$I92,0,AE$8+1)-INDEX($E92:$I92,0,AE$8))/(INDEX($D$5:$H$5,0,AE$8+1)-INDEX($D$5:$H$5,0,AE$8))+AD92)))</f>
        <v>861.441862053352</v>
      </c>
      <c r="AF92" s="8">
        <f t="shared" ref="AF92:AF100" si="102">IF(AF$8=-1,AG92,IF(AF$8=99,AE92,IF(AF$8=0,INDEX($E92:$I92,0,AF$6),(INDEX($E92:$I92,0,AF$8+1)-INDEX($E92:$I92,0,AF$8))/(INDEX($D$5:$H$5,0,AF$8+1)-INDEX($D$5:$H$5,0,AF$8))+AE92)))</f>
        <v>861.441862053352</v>
      </c>
      <c r="AG92" s="8">
        <f t="shared" ref="AG92:AG100" si="103">IF(AG$8=-1,AH92,IF(AG$8=99,AF92,IF(AG$8=0,INDEX($E92:$I92,0,AG$6),(INDEX($E92:$I92,0,AG$8+1)-INDEX($E92:$I92,0,AG$8))/(INDEX($D$5:$H$5,0,AG$8+1)-INDEX($D$5:$H$5,0,AG$8))+AF92)))</f>
        <v>861.441862053352</v>
      </c>
      <c r="AH92" s="8">
        <f t="shared" ref="AH92:AH100" si="104">IF(AH$8=-1,AI92,IF(AH$8=99,AG92,IF(AH$8=0,INDEX($E92:$I92,0,AH$6),(INDEX($E92:$I92,0,AH$8+1)-INDEX($E92:$I92,0,AH$8))/(INDEX($D$5:$H$5,0,AH$8+1)-INDEX($D$5:$H$5,0,AH$8))+AG92)))</f>
        <v>861.441862053352</v>
      </c>
      <c r="AI92" s="8">
        <f t="shared" ref="AI92:AI100" si="105">IF(AI$8=-1,AJ92,IF(AI$8=99,AH92,IF(AI$8=0,INDEX($E92:$I92,0,AI$6),(INDEX($E92:$I92,0,AI$8+1)-INDEX($E92:$I92,0,AI$8))/(INDEX($D$5:$H$5,0,AI$8+1)-INDEX($D$5:$H$5,0,AI$8))+AH92)))</f>
        <v>861.441862053352</v>
      </c>
      <c r="AJ92" s="8">
        <f t="shared" ref="AJ92:AJ100" si="106">IF(AJ$8=-1,AK92,IF(AJ$8=99,AI92,IF(AJ$8=0,INDEX($E92:$I92,0,AJ$6),(INDEX($E92:$I92,0,AJ$8+1)-INDEX($E92:$I92,0,AJ$8))/(INDEX($D$5:$H$5,0,AJ$8+1)-INDEX($D$5:$H$5,0,AJ$8))+AI92)))</f>
        <v>861.441862053352</v>
      </c>
      <c r="AK92" s="8">
        <f t="shared" ref="AK92:AK100" si="107">IF(AK$8=-1,AL92,IF(AK$8=99,AJ92,IF(AK$8=0,INDEX($E92:$I92,0,AK$6),(INDEX($E92:$I92,0,AK$8+1)-INDEX($E92:$I92,0,AK$8))/(INDEX($D$5:$H$5,0,AK$8+1)-INDEX($D$5:$H$5,0,AK$8))+AJ92)))</f>
        <v>861.441862053352</v>
      </c>
      <c r="AL92" s="8">
        <f t="shared" ref="AL92:AL100" si="108">IF(AL$8=-1,AM92,IF(AL$8=99,AK92,IF(AL$8=0,INDEX($E92:$I92,0,AL$6),(INDEX($E92:$I92,0,AL$8+1)-INDEX($E92:$I92,0,AL$8))/(INDEX($D$5:$H$5,0,AL$8+1)-INDEX($D$5:$H$5,0,AL$8))+AK92)))</f>
        <v>861.441862053352</v>
      </c>
      <c r="AM92" s="8">
        <f t="shared" ref="AM92:AM100" si="109">IF(AM$8=-1,AN92,IF(AM$8=99,AL92,IF(AM$8=0,INDEX($E92:$I92,0,AM$6),(INDEX($E92:$I92,0,AM$8+1)-INDEX($E92:$I92,0,AM$8))/(INDEX($D$5:$H$5,0,AM$8+1)-INDEX($D$5:$H$5,0,AM$8))+AL92)))</f>
        <v>861.441862053352</v>
      </c>
      <c r="AN92" s="8">
        <f t="shared" ref="AN92:AN100" si="110">IF(AN$8=-1,AO92,IF(AN$8=99,AM92,IF(AN$8=0,INDEX($E92:$I92,0,AN$6),(INDEX($E92:$I92,0,AN$8+1)-INDEX($E92:$I92,0,AN$8))/(INDEX($D$5:$H$5,0,AN$8+1)-INDEX($D$5:$H$5,0,AN$8))+AM92)))</f>
        <v>861.441862053352</v>
      </c>
      <c r="AO92" s="8">
        <f t="shared" ref="AO92:AO100" si="111">IF(AO$8=-1,AP92,IF(AO$8=99,AN92,IF(AO$8=0,INDEX($E92:$I92,0,AO$6),(INDEX($E92:$I92,0,AO$8+1)-INDEX($E92:$I92,0,AO$8))/(INDEX($D$5:$H$5,0,AO$8+1)-INDEX($D$5:$H$5,0,AO$8))+AN92)))</f>
        <v>861.441862053352</v>
      </c>
      <c r="AP92" s="8">
        <f t="shared" ref="AP92:AP100" si="112">IF(AP$8=-1,AQ92,IF(AP$8=99,AO92,IF(AP$8=0,INDEX($E92:$I92,0,AP$6),(INDEX($E92:$I92,0,AP$8+1)-INDEX($E92:$I92,0,AP$8))/(INDEX($D$5:$H$5,0,AP$8+1)-INDEX($D$5:$H$5,0,AP$8))+AO92)))</f>
        <v>861.441862053352</v>
      </c>
      <c r="AQ92" s="8">
        <f t="shared" ref="AQ92:AQ100" si="113">IF(AQ$8=-1,AR92,IF(AQ$8=99,AP92,IF(AQ$8=0,INDEX($E92:$I92,0,AQ$6),(INDEX($E92:$I92,0,AQ$8+1)-INDEX($E92:$I92,0,AQ$8))/(INDEX($D$5:$H$5,0,AQ$8+1)-INDEX($D$5:$H$5,0,AQ$8))+AP92)))</f>
        <v>861.441862053352</v>
      </c>
      <c r="AR92" s="8">
        <f t="shared" ref="AR92:AR100" si="114">IF(AR$8=-1,AS92,IF(AR$8=99,AQ92,IF(AR$8=0,INDEX($E92:$I92,0,AR$6),(INDEX($E92:$I92,0,AR$8+1)-INDEX($E92:$I92,0,AR$8))/(INDEX($D$5:$H$5,0,AR$8+1)-INDEX($D$5:$H$5,0,AR$8))+AQ92)))</f>
        <v>861.441862053352</v>
      </c>
      <c r="AS92" s="8">
        <f t="shared" ref="AS92:AS100" si="115">IF(AS$8=-1,AT92,IF(AS$8=99,AR92,IF(AS$8=0,INDEX($E92:$I92,0,AS$6),(INDEX($E92:$I92,0,AS$8+1)-INDEX($E92:$I92,0,AS$8))/(INDEX($D$5:$H$5,0,AS$8+1)-INDEX($D$5:$H$5,0,AS$8))+AR92)))</f>
        <v>861.441862053352</v>
      </c>
      <c r="AT92" s="8">
        <f t="shared" ref="AT92:AT100" si="116">IF(AT$8=-1,AU92,IF(AT$8=99,AS92,IF(AT$8=0,INDEX($E92:$I92,0,AT$6),(INDEX($E92:$I92,0,AT$8+1)-INDEX($E92:$I92,0,AT$8))/(INDEX($D$5:$H$5,0,AT$8+1)-INDEX($D$5:$H$5,0,AT$8))+AS92)))</f>
        <v>861.441862053352</v>
      </c>
      <c r="AU92" s="8">
        <f t="shared" ref="AU92:AU100" si="117">IF(AU$8=-1,AV92,IF(AU$8=99,AT92,IF(AU$8=0,INDEX($E92:$I92,0,AU$6),(INDEX($E92:$I92,0,AU$8+1)-INDEX($E92:$I92,0,AU$8))/(INDEX($D$5:$H$5,0,AU$8+1)-INDEX($D$5:$H$5,0,AU$8))+AT92)))</f>
        <v>861.441862053352</v>
      </c>
      <c r="AV92" s="8">
        <f t="shared" ref="AV92:AV100" si="118">IF(AV$8=-1,AW92,IF(AV$8=99,AU92,IF(AV$8=0,INDEX($E92:$I92,0,AV$6),(INDEX($E92:$I92,0,AV$8+1)-INDEX($E92:$I92,0,AV$8))/(INDEX($D$5:$H$5,0,AV$8+1)-INDEX($D$5:$H$5,0,AV$8))+AU92)))</f>
        <v>861.441862053352</v>
      </c>
    </row>
    <row r="93" spans="1:48">
      <c r="A93" s="4" t="s">
        <v>17</v>
      </c>
      <c r="B93" s="176" t="str">
        <f t="shared" ref="B93:B100" si="119">B71</f>
        <v>CEH</v>
      </c>
      <c r="C93" s="96" t="str">
        <f t="shared" si="79"/>
        <v>Commercial - Space Heating</v>
      </c>
      <c r="D93" s="96" t="s">
        <v>76</v>
      </c>
      <c r="E93" s="107">
        <f t="shared" ref="E93:F100" si="120">E82</f>
        <v>59.117764859369188</v>
      </c>
      <c r="F93" s="120">
        <f t="shared" si="120"/>
        <v>82.152555943357399</v>
      </c>
      <c r="G93" s="120">
        <f t="shared" si="80"/>
        <v>82.152555943357399</v>
      </c>
      <c r="H93" s="120">
        <f t="shared" si="81"/>
        <v>82.152555943357399</v>
      </c>
      <c r="I93" s="180">
        <f t="shared" ref="I93:I100" si="121">H93</f>
        <v>82.152555943357399</v>
      </c>
      <c r="J93" s="8">
        <f t="shared" ref="J93:J100" si="122">IF(J$8=-1,K93,IF(J$8=99,I93,IF(J$8=0,INDEX($E93:$I93,0,J$6),(INDEX($E93:$I93,0,J$8+1)-INDEX($E93:$I93,0,J$8))/(INDEX($D$5:$H$5,0,J$8+1)-INDEX($D$5:$H$5,0,J$8))+I93)))</f>
        <v>59.117764859369188</v>
      </c>
      <c r="K93" s="8">
        <f t="shared" ref="K93:K100" si="123">IF(K$8=-1,L93,IF(K$8=99,J93,IF(K$8=0,INDEX($E93:$I93,0,K$6),(INDEX($E93:$I93,0,K$8+1)-INDEX($E93:$I93,0,K$8))/(INDEX($D$5:$H$5,0,K$8+1)-INDEX($D$5:$H$5,0,K$8))+J93)))</f>
        <v>63.724723076166832</v>
      </c>
      <c r="L93" s="8">
        <f t="shared" si="82"/>
        <v>68.331681292964475</v>
      </c>
      <c r="M93" s="8">
        <f t="shared" si="83"/>
        <v>72.938639509762112</v>
      </c>
      <c r="N93" s="8">
        <f t="shared" si="84"/>
        <v>77.545597726559748</v>
      </c>
      <c r="O93" s="8">
        <f t="shared" si="85"/>
        <v>82.152555943357399</v>
      </c>
      <c r="P93" s="8">
        <f t="shared" si="86"/>
        <v>82.152555943357399</v>
      </c>
      <c r="Q93" s="8">
        <f t="shared" si="87"/>
        <v>82.152555943357399</v>
      </c>
      <c r="R93" s="8">
        <f t="shared" si="88"/>
        <v>82.152555943357399</v>
      </c>
      <c r="S93" s="8">
        <f t="shared" si="89"/>
        <v>82.152555943357399</v>
      </c>
      <c r="T93" s="8">
        <f t="shared" si="90"/>
        <v>82.152555943357399</v>
      </c>
      <c r="U93" s="8">
        <f t="shared" si="91"/>
        <v>82.152555943357399</v>
      </c>
      <c r="V93" s="8">
        <f t="shared" si="92"/>
        <v>82.152555943357399</v>
      </c>
      <c r="W93" s="8">
        <f t="shared" si="93"/>
        <v>82.152555943357399</v>
      </c>
      <c r="X93" s="8">
        <f t="shared" si="94"/>
        <v>82.152555943357399</v>
      </c>
      <c r="Y93" s="8">
        <f t="shared" si="95"/>
        <v>82.152555943357399</v>
      </c>
      <c r="Z93" s="8">
        <f t="shared" si="96"/>
        <v>82.152555943357399</v>
      </c>
      <c r="AA93" s="8">
        <f t="shared" si="97"/>
        <v>82.152555943357399</v>
      </c>
      <c r="AB93" s="8">
        <f t="shared" si="98"/>
        <v>82.152555943357399</v>
      </c>
      <c r="AC93" s="8">
        <f t="shared" si="99"/>
        <v>82.152555943357399</v>
      </c>
      <c r="AD93" s="8">
        <f t="shared" si="100"/>
        <v>82.152555943357399</v>
      </c>
      <c r="AE93" s="8">
        <f t="shared" si="101"/>
        <v>82.152555943357399</v>
      </c>
      <c r="AF93" s="8">
        <f t="shared" si="102"/>
        <v>82.152555943357399</v>
      </c>
      <c r="AG93" s="8">
        <f t="shared" si="103"/>
        <v>82.152555943357399</v>
      </c>
      <c r="AH93" s="8">
        <f t="shared" si="104"/>
        <v>82.152555943357399</v>
      </c>
      <c r="AI93" s="8">
        <f t="shared" si="105"/>
        <v>82.152555943357399</v>
      </c>
      <c r="AJ93" s="8">
        <f t="shared" si="106"/>
        <v>82.152555943357399</v>
      </c>
      <c r="AK93" s="8">
        <f t="shared" si="107"/>
        <v>82.152555943357399</v>
      </c>
      <c r="AL93" s="8">
        <f t="shared" si="108"/>
        <v>82.152555943357399</v>
      </c>
      <c r="AM93" s="8">
        <f t="shared" si="109"/>
        <v>82.152555943357399</v>
      </c>
      <c r="AN93" s="8">
        <f t="shared" si="110"/>
        <v>82.152555943357399</v>
      </c>
      <c r="AO93" s="8">
        <f t="shared" si="111"/>
        <v>82.152555943357399</v>
      </c>
      <c r="AP93" s="8">
        <f t="shared" si="112"/>
        <v>82.152555943357399</v>
      </c>
      <c r="AQ93" s="8">
        <f t="shared" si="113"/>
        <v>82.152555943357399</v>
      </c>
      <c r="AR93" s="8">
        <f t="shared" si="114"/>
        <v>82.152555943357399</v>
      </c>
      <c r="AS93" s="8">
        <f t="shared" si="115"/>
        <v>82.152555943357399</v>
      </c>
      <c r="AT93" s="8">
        <f t="shared" si="116"/>
        <v>82.152555943357399</v>
      </c>
      <c r="AU93" s="8">
        <f t="shared" si="117"/>
        <v>82.152555943357399</v>
      </c>
      <c r="AV93" s="8">
        <f t="shared" si="118"/>
        <v>82.152555943357399</v>
      </c>
    </row>
    <row r="94" spans="1:48">
      <c r="A94" s="4" t="s">
        <v>17</v>
      </c>
      <c r="B94" s="176" t="str">
        <f t="shared" si="119"/>
        <v>CEK</v>
      </c>
      <c r="C94" s="96" t="str">
        <f t="shared" si="79"/>
        <v>Commercial - Cooking</v>
      </c>
      <c r="D94" s="96" t="s">
        <v>76</v>
      </c>
      <c r="E94" s="107">
        <f t="shared" si="120"/>
        <v>74.498085701673531</v>
      </c>
      <c r="F94" s="120">
        <f t="shared" si="120"/>
        <v>61.445903944690194</v>
      </c>
      <c r="G94" s="120">
        <f t="shared" si="80"/>
        <v>61.445903944690194</v>
      </c>
      <c r="H94" s="120">
        <f t="shared" si="81"/>
        <v>61.445903944690194</v>
      </c>
      <c r="I94" s="180">
        <f t="shared" si="121"/>
        <v>61.445903944690194</v>
      </c>
      <c r="J94" s="8">
        <f t="shared" si="122"/>
        <v>74.498085701673531</v>
      </c>
      <c r="K94" s="8">
        <f t="shared" si="123"/>
        <v>71.88764935027686</v>
      </c>
      <c r="L94" s="8">
        <f t="shared" si="82"/>
        <v>69.277212998880188</v>
      </c>
      <c r="M94" s="8">
        <f t="shared" si="83"/>
        <v>66.666776647483516</v>
      </c>
      <c r="N94" s="8">
        <f t="shared" si="84"/>
        <v>64.056340296086844</v>
      </c>
      <c r="O94" s="8">
        <f t="shared" si="85"/>
        <v>61.445903944690194</v>
      </c>
      <c r="P94" s="8">
        <f t="shared" si="86"/>
        <v>61.445903944690194</v>
      </c>
      <c r="Q94" s="8">
        <f t="shared" si="87"/>
        <v>61.445903944690194</v>
      </c>
      <c r="R94" s="8">
        <f t="shared" si="88"/>
        <v>61.445903944690194</v>
      </c>
      <c r="S94" s="8">
        <f t="shared" si="89"/>
        <v>61.445903944690194</v>
      </c>
      <c r="T94" s="8">
        <f t="shared" si="90"/>
        <v>61.445903944690194</v>
      </c>
      <c r="U94" s="8">
        <f t="shared" si="91"/>
        <v>61.445903944690194</v>
      </c>
      <c r="V94" s="8">
        <f t="shared" si="92"/>
        <v>61.445903944690194</v>
      </c>
      <c r="W94" s="8">
        <f t="shared" si="93"/>
        <v>61.445903944690194</v>
      </c>
      <c r="X94" s="8">
        <f t="shared" si="94"/>
        <v>61.445903944690194</v>
      </c>
      <c r="Y94" s="8">
        <f t="shared" si="95"/>
        <v>61.445903944690194</v>
      </c>
      <c r="Z94" s="8">
        <f t="shared" si="96"/>
        <v>61.445903944690194</v>
      </c>
      <c r="AA94" s="8">
        <f t="shared" si="97"/>
        <v>61.445903944690194</v>
      </c>
      <c r="AB94" s="8">
        <f t="shared" si="98"/>
        <v>61.445903944690194</v>
      </c>
      <c r="AC94" s="8">
        <f t="shared" si="99"/>
        <v>61.445903944690194</v>
      </c>
      <c r="AD94" s="8">
        <f t="shared" si="100"/>
        <v>61.445903944690194</v>
      </c>
      <c r="AE94" s="8">
        <f t="shared" si="101"/>
        <v>61.445903944690194</v>
      </c>
      <c r="AF94" s="8">
        <f t="shared" si="102"/>
        <v>61.445903944690194</v>
      </c>
      <c r="AG94" s="8">
        <f t="shared" si="103"/>
        <v>61.445903944690194</v>
      </c>
      <c r="AH94" s="8">
        <f t="shared" si="104"/>
        <v>61.445903944690194</v>
      </c>
      <c r="AI94" s="8">
        <f t="shared" si="105"/>
        <v>61.445903944690194</v>
      </c>
      <c r="AJ94" s="8">
        <f t="shared" si="106"/>
        <v>61.445903944690194</v>
      </c>
      <c r="AK94" s="8">
        <f t="shared" si="107"/>
        <v>61.445903944690194</v>
      </c>
      <c r="AL94" s="8">
        <f t="shared" si="108"/>
        <v>61.445903944690194</v>
      </c>
      <c r="AM94" s="8">
        <f t="shared" si="109"/>
        <v>61.445903944690194</v>
      </c>
      <c r="AN94" s="8">
        <f t="shared" si="110"/>
        <v>61.445903944690194</v>
      </c>
      <c r="AO94" s="8">
        <f t="shared" si="111"/>
        <v>61.445903944690194</v>
      </c>
      <c r="AP94" s="8">
        <f t="shared" si="112"/>
        <v>61.445903944690194</v>
      </c>
      <c r="AQ94" s="8">
        <f t="shared" si="113"/>
        <v>61.445903944690194</v>
      </c>
      <c r="AR94" s="8">
        <f t="shared" si="114"/>
        <v>61.445903944690194</v>
      </c>
      <c r="AS94" s="8">
        <f t="shared" si="115"/>
        <v>61.445903944690194</v>
      </c>
      <c r="AT94" s="8">
        <f t="shared" si="116"/>
        <v>61.445903944690194</v>
      </c>
      <c r="AU94" s="8">
        <f t="shared" si="117"/>
        <v>61.445903944690194</v>
      </c>
      <c r="AV94" s="8">
        <f t="shared" si="118"/>
        <v>61.445903944690194</v>
      </c>
    </row>
    <row r="95" spans="1:48">
      <c r="A95" s="4" t="s">
        <v>17</v>
      </c>
      <c r="B95" s="176" t="str">
        <f t="shared" si="119"/>
        <v>CEL</v>
      </c>
      <c r="C95" s="96" t="str">
        <f t="shared" si="79"/>
        <v>Commercial - Lighting</v>
      </c>
      <c r="D95" s="96" t="s">
        <v>76</v>
      </c>
      <c r="E95" s="107">
        <f t="shared" si="120"/>
        <v>915.10615144128838</v>
      </c>
      <c r="F95" s="120">
        <f t="shared" si="120"/>
        <v>749.65332881920335</v>
      </c>
      <c r="G95" s="120">
        <f t="shared" si="80"/>
        <v>749.65332881920335</v>
      </c>
      <c r="H95" s="120">
        <f t="shared" si="81"/>
        <v>749.65332881920335</v>
      </c>
      <c r="I95" s="180">
        <f t="shared" si="121"/>
        <v>749.65332881920335</v>
      </c>
      <c r="J95" s="8">
        <f t="shared" si="122"/>
        <v>915.10615144128838</v>
      </c>
      <c r="K95" s="8">
        <f t="shared" si="123"/>
        <v>882.01558691687137</v>
      </c>
      <c r="L95" s="8">
        <f t="shared" si="82"/>
        <v>848.92502239245437</v>
      </c>
      <c r="M95" s="8">
        <f t="shared" si="83"/>
        <v>815.83445786803736</v>
      </c>
      <c r="N95" s="8">
        <f t="shared" si="84"/>
        <v>782.74389334362036</v>
      </c>
      <c r="O95" s="8">
        <f t="shared" si="85"/>
        <v>749.65332881920335</v>
      </c>
      <c r="P95" s="8">
        <f t="shared" si="86"/>
        <v>749.65332881920335</v>
      </c>
      <c r="Q95" s="8">
        <f t="shared" si="87"/>
        <v>749.65332881920335</v>
      </c>
      <c r="R95" s="8">
        <f t="shared" si="88"/>
        <v>749.65332881920335</v>
      </c>
      <c r="S95" s="8">
        <f t="shared" si="89"/>
        <v>749.65332881920335</v>
      </c>
      <c r="T95" s="8">
        <f t="shared" si="90"/>
        <v>749.65332881920335</v>
      </c>
      <c r="U95" s="8">
        <f t="shared" si="91"/>
        <v>749.65332881920335</v>
      </c>
      <c r="V95" s="8">
        <f t="shared" si="92"/>
        <v>749.65332881920335</v>
      </c>
      <c r="W95" s="8">
        <f t="shared" si="93"/>
        <v>749.65332881920335</v>
      </c>
      <c r="X95" s="8">
        <f t="shared" si="94"/>
        <v>749.65332881920335</v>
      </c>
      <c r="Y95" s="8">
        <f t="shared" si="95"/>
        <v>749.65332881920335</v>
      </c>
      <c r="Z95" s="8">
        <f t="shared" si="96"/>
        <v>749.65332881920335</v>
      </c>
      <c r="AA95" s="8">
        <f t="shared" si="97"/>
        <v>749.65332881920335</v>
      </c>
      <c r="AB95" s="8">
        <f t="shared" si="98"/>
        <v>749.65332881920335</v>
      </c>
      <c r="AC95" s="8">
        <f t="shared" si="99"/>
        <v>749.65332881920335</v>
      </c>
      <c r="AD95" s="8">
        <f t="shared" si="100"/>
        <v>749.65332881920335</v>
      </c>
      <c r="AE95" s="8">
        <f t="shared" si="101"/>
        <v>749.65332881920335</v>
      </c>
      <c r="AF95" s="8">
        <f t="shared" si="102"/>
        <v>749.65332881920335</v>
      </c>
      <c r="AG95" s="8">
        <f t="shared" si="103"/>
        <v>749.65332881920335</v>
      </c>
      <c r="AH95" s="8">
        <f t="shared" si="104"/>
        <v>749.65332881920335</v>
      </c>
      <c r="AI95" s="8">
        <f t="shared" si="105"/>
        <v>749.65332881920335</v>
      </c>
      <c r="AJ95" s="8">
        <f t="shared" si="106"/>
        <v>749.65332881920335</v>
      </c>
      <c r="AK95" s="8">
        <f t="shared" si="107"/>
        <v>749.65332881920335</v>
      </c>
      <c r="AL95" s="8">
        <f t="shared" si="108"/>
        <v>749.65332881920335</v>
      </c>
      <c r="AM95" s="8">
        <f t="shared" si="109"/>
        <v>749.65332881920335</v>
      </c>
      <c r="AN95" s="8">
        <f t="shared" si="110"/>
        <v>749.65332881920335</v>
      </c>
      <c r="AO95" s="8">
        <f t="shared" si="111"/>
        <v>749.65332881920335</v>
      </c>
      <c r="AP95" s="8">
        <f t="shared" si="112"/>
        <v>749.65332881920335</v>
      </c>
      <c r="AQ95" s="8">
        <f t="shared" si="113"/>
        <v>749.65332881920335</v>
      </c>
      <c r="AR95" s="8">
        <f t="shared" si="114"/>
        <v>749.65332881920335</v>
      </c>
      <c r="AS95" s="8">
        <f t="shared" si="115"/>
        <v>749.65332881920335</v>
      </c>
      <c r="AT95" s="8">
        <f t="shared" si="116"/>
        <v>749.65332881920335</v>
      </c>
      <c r="AU95" s="8">
        <f t="shared" si="117"/>
        <v>749.65332881920335</v>
      </c>
      <c r="AV95" s="8">
        <f t="shared" si="118"/>
        <v>749.65332881920335</v>
      </c>
    </row>
    <row r="96" spans="1:48">
      <c r="A96" s="4" t="s">
        <v>17</v>
      </c>
      <c r="B96" s="176" t="str">
        <f t="shared" si="119"/>
        <v>CER</v>
      </c>
      <c r="C96" s="96" t="str">
        <f t="shared" si="79"/>
        <v>Commercial - Refrigeration</v>
      </c>
      <c r="D96" s="96" t="s">
        <v>76</v>
      </c>
      <c r="E96" s="107">
        <f t="shared" si="120"/>
        <v>222.61251585750318</v>
      </c>
      <c r="F96" s="120">
        <f t="shared" si="120"/>
        <v>182.3637763625085</v>
      </c>
      <c r="G96" s="120">
        <f t="shared" si="80"/>
        <v>182.3637763625085</v>
      </c>
      <c r="H96" s="120">
        <f t="shared" si="81"/>
        <v>182.3637763625085</v>
      </c>
      <c r="I96" s="180">
        <f t="shared" si="121"/>
        <v>182.3637763625085</v>
      </c>
      <c r="J96" s="8">
        <f t="shared" si="122"/>
        <v>222.61251585750318</v>
      </c>
      <c r="K96" s="8">
        <f t="shared" si="123"/>
        <v>214.56276795850425</v>
      </c>
      <c r="L96" s="8">
        <f t="shared" si="82"/>
        <v>206.51302005950532</v>
      </c>
      <c r="M96" s="8">
        <f t="shared" si="83"/>
        <v>198.46327216050639</v>
      </c>
      <c r="N96" s="8">
        <f t="shared" si="84"/>
        <v>190.41352426150746</v>
      </c>
      <c r="O96" s="8">
        <f t="shared" si="85"/>
        <v>182.3637763625085</v>
      </c>
      <c r="P96" s="8">
        <f t="shared" si="86"/>
        <v>182.3637763625085</v>
      </c>
      <c r="Q96" s="8">
        <f t="shared" si="87"/>
        <v>182.3637763625085</v>
      </c>
      <c r="R96" s="8">
        <f t="shared" si="88"/>
        <v>182.3637763625085</v>
      </c>
      <c r="S96" s="8">
        <f t="shared" si="89"/>
        <v>182.3637763625085</v>
      </c>
      <c r="T96" s="8">
        <f t="shared" si="90"/>
        <v>182.3637763625085</v>
      </c>
      <c r="U96" s="8">
        <f t="shared" si="91"/>
        <v>182.3637763625085</v>
      </c>
      <c r="V96" s="8">
        <f t="shared" si="92"/>
        <v>182.3637763625085</v>
      </c>
      <c r="W96" s="8">
        <f t="shared" si="93"/>
        <v>182.3637763625085</v>
      </c>
      <c r="X96" s="8">
        <f t="shared" si="94"/>
        <v>182.3637763625085</v>
      </c>
      <c r="Y96" s="8">
        <f t="shared" si="95"/>
        <v>182.3637763625085</v>
      </c>
      <c r="Z96" s="8">
        <f t="shared" si="96"/>
        <v>182.3637763625085</v>
      </c>
      <c r="AA96" s="8">
        <f t="shared" si="97"/>
        <v>182.3637763625085</v>
      </c>
      <c r="AB96" s="8">
        <f t="shared" si="98"/>
        <v>182.3637763625085</v>
      </c>
      <c r="AC96" s="8">
        <f t="shared" si="99"/>
        <v>182.3637763625085</v>
      </c>
      <c r="AD96" s="8">
        <f t="shared" si="100"/>
        <v>182.3637763625085</v>
      </c>
      <c r="AE96" s="8">
        <f t="shared" si="101"/>
        <v>182.3637763625085</v>
      </c>
      <c r="AF96" s="8">
        <f t="shared" si="102"/>
        <v>182.3637763625085</v>
      </c>
      <c r="AG96" s="8">
        <f t="shared" si="103"/>
        <v>182.3637763625085</v>
      </c>
      <c r="AH96" s="8">
        <f t="shared" si="104"/>
        <v>182.3637763625085</v>
      </c>
      <c r="AI96" s="8">
        <f t="shared" si="105"/>
        <v>182.3637763625085</v>
      </c>
      <c r="AJ96" s="8">
        <f t="shared" si="106"/>
        <v>182.3637763625085</v>
      </c>
      <c r="AK96" s="8">
        <f t="shared" si="107"/>
        <v>182.3637763625085</v>
      </c>
      <c r="AL96" s="8">
        <f t="shared" si="108"/>
        <v>182.3637763625085</v>
      </c>
      <c r="AM96" s="8">
        <f t="shared" si="109"/>
        <v>182.3637763625085</v>
      </c>
      <c r="AN96" s="8">
        <f t="shared" si="110"/>
        <v>182.3637763625085</v>
      </c>
      <c r="AO96" s="8">
        <f t="shared" si="111"/>
        <v>182.3637763625085</v>
      </c>
      <c r="AP96" s="8">
        <f t="shared" si="112"/>
        <v>182.3637763625085</v>
      </c>
      <c r="AQ96" s="8">
        <f t="shared" si="113"/>
        <v>182.3637763625085</v>
      </c>
      <c r="AR96" s="8">
        <f t="shared" si="114"/>
        <v>182.3637763625085</v>
      </c>
      <c r="AS96" s="8">
        <f t="shared" si="115"/>
        <v>182.3637763625085</v>
      </c>
      <c r="AT96" s="8">
        <f t="shared" si="116"/>
        <v>182.3637763625085</v>
      </c>
      <c r="AU96" s="8">
        <f t="shared" si="117"/>
        <v>182.3637763625085</v>
      </c>
      <c r="AV96" s="8">
        <f t="shared" si="118"/>
        <v>182.3637763625085</v>
      </c>
    </row>
    <row r="97" spans="1:50">
      <c r="A97" s="4" t="s">
        <v>17</v>
      </c>
      <c r="B97" s="176" t="str">
        <f t="shared" si="119"/>
        <v>CEW</v>
      </c>
      <c r="C97" s="96" t="str">
        <f t="shared" si="79"/>
        <v>Commercial - Water Heating</v>
      </c>
      <c r="D97" s="96" t="s">
        <v>76</v>
      </c>
      <c r="E97" s="107">
        <f t="shared" si="120"/>
        <v>72.906473658117989</v>
      </c>
      <c r="F97" s="120">
        <f t="shared" si="120"/>
        <v>95.064371557095555</v>
      </c>
      <c r="G97" s="120">
        <f t="shared" si="80"/>
        <v>95.064371557095555</v>
      </c>
      <c r="H97" s="120">
        <f t="shared" si="81"/>
        <v>95.064371557095555</v>
      </c>
      <c r="I97" s="180">
        <f t="shared" si="121"/>
        <v>95.064371557095555</v>
      </c>
      <c r="J97" s="8">
        <f t="shared" si="122"/>
        <v>72.906473658117989</v>
      </c>
      <c r="K97" s="8">
        <f t="shared" si="123"/>
        <v>77.338053237913499</v>
      </c>
      <c r="L97" s="8">
        <f t="shared" si="82"/>
        <v>81.769632817709009</v>
      </c>
      <c r="M97" s="8">
        <f t="shared" si="83"/>
        <v>86.20121239750452</v>
      </c>
      <c r="N97" s="8">
        <f t="shared" si="84"/>
        <v>90.63279197730003</v>
      </c>
      <c r="O97" s="8">
        <f t="shared" si="85"/>
        <v>95.064371557095555</v>
      </c>
      <c r="P97" s="8">
        <f t="shared" si="86"/>
        <v>95.064371557095555</v>
      </c>
      <c r="Q97" s="8">
        <f t="shared" si="87"/>
        <v>95.064371557095555</v>
      </c>
      <c r="R97" s="8">
        <f t="shared" si="88"/>
        <v>95.064371557095555</v>
      </c>
      <c r="S97" s="8">
        <f t="shared" si="89"/>
        <v>95.064371557095555</v>
      </c>
      <c r="T97" s="8">
        <f t="shared" si="90"/>
        <v>95.064371557095555</v>
      </c>
      <c r="U97" s="8">
        <f t="shared" si="91"/>
        <v>95.064371557095555</v>
      </c>
      <c r="V97" s="8">
        <f t="shared" si="92"/>
        <v>95.064371557095555</v>
      </c>
      <c r="W97" s="8">
        <f t="shared" si="93"/>
        <v>95.064371557095555</v>
      </c>
      <c r="X97" s="8">
        <f t="shared" si="94"/>
        <v>95.064371557095555</v>
      </c>
      <c r="Y97" s="8">
        <f t="shared" si="95"/>
        <v>95.064371557095555</v>
      </c>
      <c r="Z97" s="8">
        <f t="shared" si="96"/>
        <v>95.064371557095555</v>
      </c>
      <c r="AA97" s="8">
        <f t="shared" si="97"/>
        <v>95.064371557095555</v>
      </c>
      <c r="AB97" s="8">
        <f t="shared" si="98"/>
        <v>95.064371557095555</v>
      </c>
      <c r="AC97" s="8">
        <f t="shared" si="99"/>
        <v>95.064371557095555</v>
      </c>
      <c r="AD97" s="8">
        <f t="shared" si="100"/>
        <v>95.064371557095555</v>
      </c>
      <c r="AE97" s="8">
        <f t="shared" si="101"/>
        <v>95.064371557095555</v>
      </c>
      <c r="AF97" s="8">
        <f t="shared" si="102"/>
        <v>95.064371557095555</v>
      </c>
      <c r="AG97" s="8">
        <f t="shared" si="103"/>
        <v>95.064371557095555</v>
      </c>
      <c r="AH97" s="8">
        <f t="shared" si="104"/>
        <v>95.064371557095555</v>
      </c>
      <c r="AI97" s="8">
        <f t="shared" si="105"/>
        <v>95.064371557095555</v>
      </c>
      <c r="AJ97" s="8">
        <f t="shared" si="106"/>
        <v>95.064371557095555</v>
      </c>
      <c r="AK97" s="8">
        <f t="shared" si="107"/>
        <v>95.064371557095555</v>
      </c>
      <c r="AL97" s="8">
        <f t="shared" si="108"/>
        <v>95.064371557095555</v>
      </c>
      <c r="AM97" s="8">
        <f t="shared" si="109"/>
        <v>95.064371557095555</v>
      </c>
      <c r="AN97" s="8">
        <f t="shared" si="110"/>
        <v>95.064371557095555</v>
      </c>
      <c r="AO97" s="8">
        <f t="shared" si="111"/>
        <v>95.064371557095555</v>
      </c>
      <c r="AP97" s="8">
        <f t="shared" si="112"/>
        <v>95.064371557095555</v>
      </c>
      <c r="AQ97" s="8">
        <f t="shared" si="113"/>
        <v>95.064371557095555</v>
      </c>
      <c r="AR97" s="8">
        <f t="shared" si="114"/>
        <v>95.064371557095555</v>
      </c>
      <c r="AS97" s="8">
        <f t="shared" si="115"/>
        <v>95.064371557095555</v>
      </c>
      <c r="AT97" s="8">
        <f t="shared" si="116"/>
        <v>95.064371557095555</v>
      </c>
      <c r="AU97" s="8">
        <f t="shared" si="117"/>
        <v>95.064371557095555</v>
      </c>
      <c r="AV97" s="8">
        <f t="shared" si="118"/>
        <v>95.064371557095555</v>
      </c>
    </row>
    <row r="98" spans="1:50">
      <c r="A98" s="4" t="s">
        <v>17</v>
      </c>
      <c r="B98" s="176" t="str">
        <f t="shared" si="119"/>
        <v>CEG</v>
      </c>
      <c r="C98" s="124" t="str">
        <f t="shared" si="79"/>
        <v>Commercial - Public lights</v>
      </c>
      <c r="D98" s="124" t="s">
        <v>76</v>
      </c>
      <c r="E98" s="214">
        <f>D62/$J$34</f>
        <v>387.77678995775307</v>
      </c>
      <c r="F98" s="214">
        <f>E62/$O$34</f>
        <v>317.66605543281094</v>
      </c>
      <c r="G98" s="207">
        <f t="shared" si="80"/>
        <v>317.66605543281094</v>
      </c>
      <c r="H98" s="207">
        <f>G98*(1+$I$91)</f>
        <v>317.66605543281094</v>
      </c>
      <c r="I98" s="208">
        <f t="shared" si="121"/>
        <v>317.66605543281094</v>
      </c>
      <c r="J98" s="8">
        <f t="shared" si="122"/>
        <v>387.77678995775307</v>
      </c>
      <c r="K98" s="8">
        <f t="shared" si="123"/>
        <v>373.75464305276466</v>
      </c>
      <c r="L98" s="8">
        <f t="shared" si="82"/>
        <v>359.73249614777626</v>
      </c>
      <c r="M98" s="8">
        <f>IF(M$8=-1,N98,IF(M$8=99,L98,IF(M$8=0,INDEX($E98:$I98,0,M$6),(INDEX($E98:$I98,0,M$8+1)-INDEX($E98:$I98,0,M$8))/(INDEX($D$5:$H$5,0,M$8+1)-INDEX($D$5:$H$5,0,M$8))+L98)))</f>
        <v>345.71034924278786</v>
      </c>
      <c r="N98" s="8">
        <f t="shared" si="84"/>
        <v>331.68820233779945</v>
      </c>
      <c r="O98" s="8">
        <f t="shared" si="85"/>
        <v>317.66605543281094</v>
      </c>
      <c r="P98" s="8">
        <f t="shared" si="86"/>
        <v>317.66605543281094</v>
      </c>
      <c r="Q98" s="8">
        <f t="shared" si="87"/>
        <v>317.66605543281094</v>
      </c>
      <c r="R98" s="8">
        <f t="shared" si="88"/>
        <v>317.66605543281094</v>
      </c>
      <c r="S98" s="8">
        <f t="shared" si="89"/>
        <v>317.66605543281094</v>
      </c>
      <c r="T98" s="8">
        <f t="shared" si="90"/>
        <v>317.66605543281094</v>
      </c>
      <c r="U98" s="8">
        <f t="shared" si="91"/>
        <v>317.66605543281094</v>
      </c>
      <c r="V98" s="8">
        <f t="shared" si="92"/>
        <v>317.66605543281094</v>
      </c>
      <c r="W98" s="8">
        <f t="shared" si="93"/>
        <v>317.66605543281094</v>
      </c>
      <c r="X98" s="8">
        <f t="shared" si="94"/>
        <v>317.66605543281094</v>
      </c>
      <c r="Y98" s="8">
        <f t="shared" si="95"/>
        <v>317.66605543281094</v>
      </c>
      <c r="Z98" s="8">
        <f t="shared" si="96"/>
        <v>317.66605543281094</v>
      </c>
      <c r="AA98" s="8">
        <f t="shared" si="97"/>
        <v>317.66605543281094</v>
      </c>
      <c r="AB98" s="8">
        <f t="shared" si="98"/>
        <v>317.66605543281094</v>
      </c>
      <c r="AC98" s="8">
        <f t="shared" si="99"/>
        <v>317.66605543281094</v>
      </c>
      <c r="AD98" s="8">
        <f t="shared" si="100"/>
        <v>317.66605543281094</v>
      </c>
      <c r="AE98" s="8">
        <f t="shared" si="101"/>
        <v>317.66605543281094</v>
      </c>
      <c r="AF98" s="8">
        <f t="shared" si="102"/>
        <v>317.66605543281094</v>
      </c>
      <c r="AG98" s="8">
        <f t="shared" si="103"/>
        <v>317.66605543281094</v>
      </c>
      <c r="AH98" s="8">
        <f t="shared" si="104"/>
        <v>317.66605543281094</v>
      </c>
      <c r="AI98" s="8">
        <f t="shared" si="105"/>
        <v>317.66605543281094</v>
      </c>
      <c r="AJ98" s="8">
        <f t="shared" si="106"/>
        <v>317.66605543281094</v>
      </c>
      <c r="AK98" s="8">
        <f t="shared" si="107"/>
        <v>317.66605543281094</v>
      </c>
      <c r="AL98" s="8">
        <f t="shared" si="108"/>
        <v>317.66605543281094</v>
      </c>
      <c r="AM98" s="8">
        <f t="shared" si="109"/>
        <v>317.66605543281094</v>
      </c>
      <c r="AN98" s="8">
        <f t="shared" si="110"/>
        <v>317.66605543281094</v>
      </c>
      <c r="AO98" s="8">
        <f t="shared" si="111"/>
        <v>317.66605543281094</v>
      </c>
      <c r="AP98" s="8">
        <f t="shared" si="112"/>
        <v>317.66605543281094</v>
      </c>
      <c r="AQ98" s="8">
        <f t="shared" si="113"/>
        <v>317.66605543281094</v>
      </c>
      <c r="AR98" s="8">
        <f t="shared" si="114"/>
        <v>317.66605543281094</v>
      </c>
      <c r="AS98" s="8">
        <f t="shared" si="115"/>
        <v>317.66605543281094</v>
      </c>
      <c r="AT98" s="8">
        <f t="shared" si="116"/>
        <v>317.66605543281094</v>
      </c>
      <c r="AU98" s="8">
        <f t="shared" si="117"/>
        <v>317.66605543281094</v>
      </c>
      <c r="AV98" s="8">
        <f t="shared" si="118"/>
        <v>317.66605543281094</v>
      </c>
    </row>
    <row r="99" spans="1:50">
      <c r="A99" s="4" t="s">
        <v>17</v>
      </c>
      <c r="B99" s="176" t="str">
        <f t="shared" si="119"/>
        <v>CET</v>
      </c>
      <c r="C99" s="124" t="str">
        <f t="shared" si="79"/>
        <v>Commercial - Public Water</v>
      </c>
      <c r="D99" s="124" t="s">
        <v>76</v>
      </c>
      <c r="E99" s="214">
        <f>D63/$J$34</f>
        <v>133.99608918927126</v>
      </c>
      <c r="F99" s="214">
        <f>E63/$O$34</f>
        <v>109.76935752347723</v>
      </c>
      <c r="G99" s="207">
        <f t="shared" si="80"/>
        <v>109.76935752347723</v>
      </c>
      <c r="H99" s="207">
        <f>G99*(1+$I$91)</f>
        <v>109.76935752347723</v>
      </c>
      <c r="I99" s="208">
        <f t="shared" si="121"/>
        <v>109.76935752347723</v>
      </c>
      <c r="J99" s="8">
        <f t="shared" si="122"/>
        <v>133.99608918927126</v>
      </c>
      <c r="K99" s="8">
        <f t="shared" si="123"/>
        <v>129.15074285611246</v>
      </c>
      <c r="L99" s="8">
        <f t="shared" si="82"/>
        <v>124.30539652295366</v>
      </c>
      <c r="M99" s="8">
        <f>IF(M$8=-1,N99,IF(M$8=99,L99,IF(M$8=0,INDEX($E99:$I99,0,M$6),(INDEX($E99:$I99,0,M$8+1)-INDEX($E99:$I99,0,M$8))/(INDEX($D$5:$H$5,0,M$8+1)-INDEX($D$5:$H$5,0,M$8))+L99)))</f>
        <v>119.46005018979486</v>
      </c>
      <c r="N99" s="8">
        <f t="shared" si="84"/>
        <v>114.61470385663605</v>
      </c>
      <c r="O99" s="8">
        <f t="shared" si="85"/>
        <v>109.76935752347723</v>
      </c>
      <c r="P99" s="8">
        <f t="shared" si="86"/>
        <v>109.76935752347723</v>
      </c>
      <c r="Q99" s="8">
        <f t="shared" si="87"/>
        <v>109.76935752347723</v>
      </c>
      <c r="R99" s="8">
        <f t="shared" si="88"/>
        <v>109.76935752347723</v>
      </c>
      <c r="S99" s="8">
        <f t="shared" si="89"/>
        <v>109.76935752347723</v>
      </c>
      <c r="T99" s="8">
        <f t="shared" si="90"/>
        <v>109.76935752347723</v>
      </c>
      <c r="U99" s="8">
        <f t="shared" si="91"/>
        <v>109.76935752347723</v>
      </c>
      <c r="V99" s="8">
        <f t="shared" si="92"/>
        <v>109.76935752347723</v>
      </c>
      <c r="W99" s="8">
        <f t="shared" si="93"/>
        <v>109.76935752347723</v>
      </c>
      <c r="X99" s="8">
        <f t="shared" si="94"/>
        <v>109.76935752347723</v>
      </c>
      <c r="Y99" s="8">
        <f t="shared" si="95"/>
        <v>109.76935752347723</v>
      </c>
      <c r="Z99" s="8">
        <f t="shared" si="96"/>
        <v>109.76935752347723</v>
      </c>
      <c r="AA99" s="8">
        <f t="shared" si="97"/>
        <v>109.76935752347723</v>
      </c>
      <c r="AB99" s="8">
        <f t="shared" si="98"/>
        <v>109.76935752347723</v>
      </c>
      <c r="AC99" s="8">
        <f t="shared" si="99"/>
        <v>109.76935752347723</v>
      </c>
      <c r="AD99" s="8">
        <f t="shared" si="100"/>
        <v>109.76935752347723</v>
      </c>
      <c r="AE99" s="8">
        <f t="shared" si="101"/>
        <v>109.76935752347723</v>
      </c>
      <c r="AF99" s="8">
        <f t="shared" si="102"/>
        <v>109.76935752347723</v>
      </c>
      <c r="AG99" s="8">
        <f t="shared" si="103"/>
        <v>109.76935752347723</v>
      </c>
      <c r="AH99" s="8">
        <f t="shared" si="104"/>
        <v>109.76935752347723</v>
      </c>
      <c r="AI99" s="8">
        <f t="shared" si="105"/>
        <v>109.76935752347723</v>
      </c>
      <c r="AJ99" s="8">
        <f t="shared" si="106"/>
        <v>109.76935752347723</v>
      </c>
      <c r="AK99" s="8">
        <f t="shared" si="107"/>
        <v>109.76935752347723</v>
      </c>
      <c r="AL99" s="8">
        <f t="shared" si="108"/>
        <v>109.76935752347723</v>
      </c>
      <c r="AM99" s="8">
        <f t="shared" si="109"/>
        <v>109.76935752347723</v>
      </c>
      <c r="AN99" s="8">
        <f t="shared" si="110"/>
        <v>109.76935752347723</v>
      </c>
      <c r="AO99" s="8">
        <f t="shared" si="111"/>
        <v>109.76935752347723</v>
      </c>
      <c r="AP99" s="8">
        <f t="shared" si="112"/>
        <v>109.76935752347723</v>
      </c>
      <c r="AQ99" s="8">
        <f t="shared" si="113"/>
        <v>109.76935752347723</v>
      </c>
      <c r="AR99" s="8">
        <f t="shared" si="114"/>
        <v>109.76935752347723</v>
      </c>
      <c r="AS99" s="8">
        <f t="shared" si="115"/>
        <v>109.76935752347723</v>
      </c>
      <c r="AT99" s="8">
        <f t="shared" si="116"/>
        <v>109.76935752347723</v>
      </c>
      <c r="AU99" s="8">
        <f t="shared" si="117"/>
        <v>109.76935752347723</v>
      </c>
      <c r="AV99" s="8">
        <f t="shared" si="118"/>
        <v>109.76935752347723</v>
      </c>
    </row>
    <row r="100" spans="1:50">
      <c r="A100" s="4" t="s">
        <v>17</v>
      </c>
      <c r="B100" s="176" t="str">
        <f t="shared" si="119"/>
        <v>CEO</v>
      </c>
      <c r="C100" s="96" t="str">
        <f t="shared" si="79"/>
        <v>Commercial - Other</v>
      </c>
      <c r="D100" s="102" t="s">
        <v>76</v>
      </c>
      <c r="E100" s="107">
        <f t="shared" si="120"/>
        <v>141.24997285391134</v>
      </c>
      <c r="F100" s="120">
        <f t="shared" si="120"/>
        <v>121.74469401620277</v>
      </c>
      <c r="G100" s="120">
        <f t="shared" si="80"/>
        <v>121.74469401620277</v>
      </c>
      <c r="H100" s="120">
        <f>G100*(1+$H$91)</f>
        <v>121.74469401620277</v>
      </c>
      <c r="I100" s="180">
        <f t="shared" si="121"/>
        <v>121.74469401620277</v>
      </c>
      <c r="J100" s="8">
        <f t="shared" si="122"/>
        <v>141.24997285391134</v>
      </c>
      <c r="K100" s="8">
        <f t="shared" si="123"/>
        <v>137.34891708636962</v>
      </c>
      <c r="L100" s="8">
        <f t="shared" si="82"/>
        <v>133.4478613188279</v>
      </c>
      <c r="M100" s="8">
        <f>IF(M$8=-1,N100,IF(M$8=99,L100,IF(M$8=0,INDEX($E100:$I100,0,M$6),(INDEX($E100:$I100,0,M$8+1)-INDEX($E100:$I100,0,M$8))/(INDEX($D$5:$H$5,0,M$8+1)-INDEX($D$5:$H$5,0,M$8))+L100)))</f>
        <v>129.54680555128618</v>
      </c>
      <c r="N100" s="8">
        <f t="shared" si="84"/>
        <v>125.64574978374446</v>
      </c>
      <c r="O100" s="8">
        <f t="shared" si="85"/>
        <v>121.74469401620277</v>
      </c>
      <c r="P100" s="8">
        <f t="shared" si="86"/>
        <v>121.74469401620277</v>
      </c>
      <c r="Q100" s="8">
        <f t="shared" si="87"/>
        <v>121.74469401620277</v>
      </c>
      <c r="R100" s="8">
        <f t="shared" si="88"/>
        <v>121.74469401620277</v>
      </c>
      <c r="S100" s="8">
        <f t="shared" si="89"/>
        <v>121.74469401620277</v>
      </c>
      <c r="T100" s="8">
        <f t="shared" si="90"/>
        <v>121.74469401620277</v>
      </c>
      <c r="U100" s="8">
        <f t="shared" si="91"/>
        <v>121.74469401620277</v>
      </c>
      <c r="V100" s="8">
        <f t="shared" si="92"/>
        <v>121.74469401620277</v>
      </c>
      <c r="W100" s="8">
        <f t="shared" si="93"/>
        <v>121.74469401620277</v>
      </c>
      <c r="X100" s="8">
        <f t="shared" si="94"/>
        <v>121.74469401620277</v>
      </c>
      <c r="Y100" s="8">
        <f t="shared" si="95"/>
        <v>121.74469401620277</v>
      </c>
      <c r="Z100" s="8">
        <f t="shared" si="96"/>
        <v>121.74469401620277</v>
      </c>
      <c r="AA100" s="8">
        <f t="shared" si="97"/>
        <v>121.74469401620277</v>
      </c>
      <c r="AB100" s="8">
        <f t="shared" si="98"/>
        <v>121.74469401620277</v>
      </c>
      <c r="AC100" s="8">
        <f t="shared" si="99"/>
        <v>121.74469401620277</v>
      </c>
      <c r="AD100" s="8">
        <f t="shared" si="100"/>
        <v>121.74469401620277</v>
      </c>
      <c r="AE100" s="8">
        <f t="shared" si="101"/>
        <v>121.74469401620277</v>
      </c>
      <c r="AF100" s="8">
        <f t="shared" si="102"/>
        <v>121.74469401620277</v>
      </c>
      <c r="AG100" s="8">
        <f t="shared" si="103"/>
        <v>121.74469401620277</v>
      </c>
      <c r="AH100" s="8">
        <f t="shared" si="104"/>
        <v>121.74469401620277</v>
      </c>
      <c r="AI100" s="8">
        <f t="shared" si="105"/>
        <v>121.74469401620277</v>
      </c>
      <c r="AJ100" s="8">
        <f t="shared" si="106"/>
        <v>121.74469401620277</v>
      </c>
      <c r="AK100" s="8">
        <f t="shared" si="107"/>
        <v>121.74469401620277</v>
      </c>
      <c r="AL100" s="8">
        <f t="shared" si="108"/>
        <v>121.74469401620277</v>
      </c>
      <c r="AM100" s="8">
        <f t="shared" si="109"/>
        <v>121.74469401620277</v>
      </c>
      <c r="AN100" s="8">
        <f t="shared" si="110"/>
        <v>121.74469401620277</v>
      </c>
      <c r="AO100" s="8">
        <f t="shared" si="111"/>
        <v>121.74469401620277</v>
      </c>
      <c r="AP100" s="8">
        <f t="shared" si="112"/>
        <v>121.74469401620277</v>
      </c>
      <c r="AQ100" s="8">
        <f t="shared" si="113"/>
        <v>121.74469401620277</v>
      </c>
      <c r="AR100" s="8">
        <f t="shared" si="114"/>
        <v>121.74469401620277</v>
      </c>
      <c r="AS100" s="8">
        <f t="shared" si="115"/>
        <v>121.74469401620277</v>
      </c>
      <c r="AT100" s="8">
        <f t="shared" si="116"/>
        <v>121.74469401620277</v>
      </c>
      <c r="AU100" s="8">
        <f t="shared" si="117"/>
        <v>121.74469401620277</v>
      </c>
      <c r="AV100" s="8">
        <f t="shared" si="118"/>
        <v>121.74469401620277</v>
      </c>
    </row>
    <row r="101" spans="1:50">
      <c r="A101" s="4" t="s">
        <v>17</v>
      </c>
      <c r="B101" s="176"/>
      <c r="D101" s="102"/>
      <c r="E101" s="102"/>
      <c r="F101" s="102"/>
      <c r="G101" s="102"/>
      <c r="H101" s="102"/>
      <c r="I101" s="186"/>
      <c r="J101" s="102"/>
      <c r="K101" s="102"/>
      <c r="L101" s="102"/>
      <c r="M101" s="102"/>
      <c r="N101" s="102"/>
      <c r="O101" s="102"/>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4" t="s">
        <v>17</v>
      </c>
      <c r="E102" s="107"/>
      <c r="F102" s="107"/>
      <c r="G102" s="107"/>
      <c r="H102" s="107"/>
      <c r="I102" s="212"/>
      <c r="J102" s="121"/>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row>
    <row r="103" spans="1:50" ht="18">
      <c r="A103" s="4" t="s">
        <v>17</v>
      </c>
      <c r="B103" s="196" t="s">
        <v>77</v>
      </c>
      <c r="I103" s="181"/>
      <c r="J103" s="121"/>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row>
    <row r="104" spans="1:50" ht="15" thickBot="1">
      <c r="A104" s="4" t="s">
        <v>17</v>
      </c>
      <c r="B104" s="93"/>
      <c r="C104" s="93" t="s">
        <v>258</v>
      </c>
      <c r="D104" s="93"/>
      <c r="E104" s="93"/>
      <c r="F104" s="108"/>
      <c r="G104" s="108"/>
      <c r="H104" s="109"/>
      <c r="I104" s="183"/>
      <c r="J104" s="108">
        <f t="shared" ref="J104:AV104" si="124">J67</f>
        <v>2012</v>
      </c>
      <c r="K104" s="108">
        <f t="shared" si="124"/>
        <v>2013</v>
      </c>
      <c r="L104" s="108">
        <f t="shared" si="124"/>
        <v>2014</v>
      </c>
      <c r="M104" s="108">
        <f t="shared" si="124"/>
        <v>2015</v>
      </c>
      <c r="N104" s="108">
        <f t="shared" si="124"/>
        <v>2016</v>
      </c>
      <c r="O104" s="108">
        <f t="shared" si="124"/>
        <v>2017</v>
      </c>
      <c r="P104" s="108">
        <f t="shared" si="124"/>
        <v>2018</v>
      </c>
      <c r="Q104" s="108">
        <f t="shared" si="124"/>
        <v>2019</v>
      </c>
      <c r="R104" s="108">
        <f t="shared" si="124"/>
        <v>2020</v>
      </c>
      <c r="S104" s="108">
        <f t="shared" si="124"/>
        <v>2021</v>
      </c>
      <c r="T104" s="108">
        <f t="shared" si="124"/>
        <v>2022</v>
      </c>
      <c r="U104" s="108">
        <f t="shared" si="124"/>
        <v>2023</v>
      </c>
      <c r="V104" s="108">
        <f t="shared" si="124"/>
        <v>2024</v>
      </c>
      <c r="W104" s="108">
        <f t="shared" si="124"/>
        <v>2025</v>
      </c>
      <c r="X104" s="108">
        <f t="shared" si="124"/>
        <v>2026</v>
      </c>
      <c r="Y104" s="108">
        <f t="shared" si="124"/>
        <v>2027</v>
      </c>
      <c r="Z104" s="108">
        <f t="shared" si="124"/>
        <v>2028</v>
      </c>
      <c r="AA104" s="108">
        <f t="shared" si="124"/>
        <v>2029</v>
      </c>
      <c r="AB104" s="108">
        <f t="shared" si="124"/>
        <v>2030</v>
      </c>
      <c r="AC104" s="108">
        <f t="shared" si="124"/>
        <v>2031</v>
      </c>
      <c r="AD104" s="108">
        <f t="shared" si="124"/>
        <v>2032</v>
      </c>
      <c r="AE104" s="108">
        <f t="shared" si="124"/>
        <v>2033</v>
      </c>
      <c r="AF104" s="108">
        <f t="shared" si="124"/>
        <v>2034</v>
      </c>
      <c r="AG104" s="108">
        <f t="shared" si="124"/>
        <v>2035</v>
      </c>
      <c r="AH104" s="108">
        <f t="shared" si="124"/>
        <v>2036</v>
      </c>
      <c r="AI104" s="108">
        <f t="shared" si="124"/>
        <v>2037</v>
      </c>
      <c r="AJ104" s="108">
        <f t="shared" si="124"/>
        <v>2038</v>
      </c>
      <c r="AK104" s="108">
        <f t="shared" si="124"/>
        <v>2039</v>
      </c>
      <c r="AL104" s="108">
        <f t="shared" si="124"/>
        <v>2040</v>
      </c>
      <c r="AM104" s="108">
        <f t="shared" si="124"/>
        <v>2041</v>
      </c>
      <c r="AN104" s="108">
        <f t="shared" si="124"/>
        <v>2042</v>
      </c>
      <c r="AO104" s="108">
        <f t="shared" si="124"/>
        <v>2043</v>
      </c>
      <c r="AP104" s="108">
        <f t="shared" si="124"/>
        <v>2044</v>
      </c>
      <c r="AQ104" s="108">
        <f t="shared" si="124"/>
        <v>2045</v>
      </c>
      <c r="AR104" s="108">
        <f t="shared" si="124"/>
        <v>2046</v>
      </c>
      <c r="AS104" s="108">
        <f t="shared" si="124"/>
        <v>2047</v>
      </c>
      <c r="AT104" s="108">
        <f t="shared" si="124"/>
        <v>2048</v>
      </c>
      <c r="AU104" s="108">
        <f t="shared" si="124"/>
        <v>2049</v>
      </c>
      <c r="AV104" s="108">
        <f t="shared" si="124"/>
        <v>2050</v>
      </c>
    </row>
    <row r="105" spans="1:50">
      <c r="A105" s="4" t="s">
        <v>17</v>
      </c>
      <c r="B105" s="176" t="s">
        <v>249</v>
      </c>
      <c r="C105" s="96" t="str">
        <f t="shared" ref="C105:C113" si="125">C70</f>
        <v>Commercial - Cooling</v>
      </c>
      <c r="I105" s="181"/>
      <c r="J105" s="96">
        <v>1</v>
      </c>
      <c r="K105" s="96">
        <v>1</v>
      </c>
      <c r="L105" s="96">
        <v>1</v>
      </c>
      <c r="M105" s="96">
        <v>1</v>
      </c>
      <c r="N105" s="96">
        <v>1</v>
      </c>
      <c r="O105" s="96">
        <v>1</v>
      </c>
      <c r="P105" s="96">
        <v>1</v>
      </c>
      <c r="Q105" s="96">
        <v>1</v>
      </c>
      <c r="R105" s="96">
        <v>1</v>
      </c>
      <c r="S105" s="96">
        <v>1</v>
      </c>
      <c r="T105" s="96">
        <v>1</v>
      </c>
      <c r="U105" s="96">
        <v>1</v>
      </c>
      <c r="V105" s="96">
        <v>1</v>
      </c>
      <c r="W105" s="96">
        <v>1</v>
      </c>
      <c r="X105" s="96">
        <v>1</v>
      </c>
      <c r="Y105" s="96">
        <v>1</v>
      </c>
      <c r="Z105" s="96">
        <v>1</v>
      </c>
      <c r="AA105" s="96">
        <v>1</v>
      </c>
      <c r="AB105" s="96">
        <v>1</v>
      </c>
      <c r="AC105" s="96">
        <v>1</v>
      </c>
      <c r="AD105" s="96">
        <v>1</v>
      </c>
      <c r="AE105" s="96">
        <v>1</v>
      </c>
      <c r="AF105" s="96">
        <v>1</v>
      </c>
      <c r="AG105" s="96">
        <v>1</v>
      </c>
      <c r="AH105" s="96">
        <v>1</v>
      </c>
      <c r="AI105" s="96">
        <v>1</v>
      </c>
      <c r="AJ105" s="96">
        <v>1</v>
      </c>
      <c r="AK105" s="96">
        <v>1</v>
      </c>
      <c r="AL105" s="96">
        <v>1</v>
      </c>
      <c r="AM105" s="96">
        <v>1</v>
      </c>
      <c r="AN105" s="96">
        <v>1</v>
      </c>
      <c r="AO105" s="96">
        <v>1</v>
      </c>
      <c r="AP105" s="96">
        <v>1</v>
      </c>
      <c r="AQ105" s="96">
        <v>1</v>
      </c>
      <c r="AR105" s="96">
        <v>1</v>
      </c>
      <c r="AS105" s="96">
        <v>1</v>
      </c>
      <c r="AT105" s="96">
        <v>1</v>
      </c>
      <c r="AU105" s="96">
        <v>1</v>
      </c>
      <c r="AV105" s="96">
        <v>1</v>
      </c>
    </row>
    <row r="106" spans="1:50">
      <c r="A106" s="4" t="s">
        <v>17</v>
      </c>
      <c r="B106" s="176" t="s">
        <v>250</v>
      </c>
      <c r="C106" s="96" t="str">
        <f t="shared" si="125"/>
        <v>Commercial - Space Heating</v>
      </c>
      <c r="I106" s="181"/>
      <c r="J106" s="96">
        <v>1</v>
      </c>
      <c r="K106" s="96">
        <v>1</v>
      </c>
      <c r="L106" s="96">
        <v>1</v>
      </c>
      <c r="M106" s="96">
        <v>1</v>
      </c>
      <c r="N106" s="96">
        <v>1</v>
      </c>
      <c r="O106" s="96">
        <v>1</v>
      </c>
      <c r="P106" s="96">
        <v>1</v>
      </c>
      <c r="Q106" s="96">
        <v>1</v>
      </c>
      <c r="R106" s="96">
        <v>1</v>
      </c>
      <c r="S106" s="96">
        <v>1</v>
      </c>
      <c r="T106" s="96">
        <v>1</v>
      </c>
      <c r="U106" s="96">
        <v>1</v>
      </c>
      <c r="V106" s="96">
        <v>1</v>
      </c>
      <c r="W106" s="96">
        <v>1</v>
      </c>
      <c r="X106" s="96">
        <v>1</v>
      </c>
      <c r="Y106" s="96">
        <v>1</v>
      </c>
      <c r="Z106" s="96">
        <v>1</v>
      </c>
      <c r="AA106" s="96">
        <v>1</v>
      </c>
      <c r="AB106" s="96">
        <v>1</v>
      </c>
      <c r="AC106" s="96">
        <v>1</v>
      </c>
      <c r="AD106" s="96">
        <v>1</v>
      </c>
      <c r="AE106" s="96">
        <v>1</v>
      </c>
      <c r="AF106" s="96">
        <v>1</v>
      </c>
      <c r="AG106" s="96">
        <v>1</v>
      </c>
      <c r="AH106" s="96">
        <v>1</v>
      </c>
      <c r="AI106" s="96">
        <v>1</v>
      </c>
      <c r="AJ106" s="96">
        <v>1</v>
      </c>
      <c r="AK106" s="96">
        <v>1</v>
      </c>
      <c r="AL106" s="96">
        <v>1</v>
      </c>
      <c r="AM106" s="96">
        <v>1</v>
      </c>
      <c r="AN106" s="96">
        <v>1</v>
      </c>
      <c r="AO106" s="96">
        <v>1</v>
      </c>
      <c r="AP106" s="96">
        <v>1</v>
      </c>
      <c r="AQ106" s="96">
        <v>1</v>
      </c>
      <c r="AR106" s="96">
        <v>1</v>
      </c>
      <c r="AS106" s="96">
        <v>1</v>
      </c>
      <c r="AT106" s="96">
        <v>1</v>
      </c>
      <c r="AU106" s="96">
        <v>1</v>
      </c>
      <c r="AV106" s="96">
        <v>1</v>
      </c>
      <c r="AX106" s="169">
        <v>0.01</v>
      </c>
    </row>
    <row r="107" spans="1:50">
      <c r="A107" s="4" t="s">
        <v>17</v>
      </c>
      <c r="B107" s="176" t="s">
        <v>251</v>
      </c>
      <c r="C107" s="96" t="str">
        <f t="shared" si="125"/>
        <v>Commercial - Cooking</v>
      </c>
      <c r="I107" s="181"/>
      <c r="J107" s="96">
        <v>1</v>
      </c>
      <c r="K107" s="96">
        <v>1</v>
      </c>
      <c r="L107" s="96">
        <v>1</v>
      </c>
      <c r="M107" s="96">
        <v>1</v>
      </c>
      <c r="N107" s="96">
        <v>1</v>
      </c>
      <c r="O107" s="96">
        <v>1</v>
      </c>
      <c r="P107" s="96">
        <v>1</v>
      </c>
      <c r="Q107" s="96">
        <v>1</v>
      </c>
      <c r="R107" s="96">
        <v>1</v>
      </c>
      <c r="S107" s="96">
        <v>1</v>
      </c>
      <c r="T107" s="96">
        <v>1</v>
      </c>
      <c r="U107" s="96">
        <v>1</v>
      </c>
      <c r="V107" s="96">
        <v>1</v>
      </c>
      <c r="W107" s="96">
        <v>1</v>
      </c>
      <c r="X107" s="96">
        <v>1</v>
      </c>
      <c r="Y107" s="96">
        <v>1</v>
      </c>
      <c r="Z107" s="96">
        <v>1</v>
      </c>
      <c r="AA107" s="96">
        <v>1</v>
      </c>
      <c r="AB107" s="96">
        <v>1</v>
      </c>
      <c r="AC107" s="96">
        <v>1</v>
      </c>
      <c r="AD107" s="96">
        <v>1</v>
      </c>
      <c r="AE107" s="96">
        <v>1</v>
      </c>
      <c r="AF107" s="96">
        <v>1</v>
      </c>
      <c r="AG107" s="96">
        <v>1</v>
      </c>
      <c r="AH107" s="96">
        <v>1</v>
      </c>
      <c r="AI107" s="96">
        <v>1</v>
      </c>
      <c r="AJ107" s="96">
        <v>1</v>
      </c>
      <c r="AK107" s="96">
        <v>1</v>
      </c>
      <c r="AL107" s="96">
        <v>1</v>
      </c>
      <c r="AM107" s="96">
        <v>1</v>
      </c>
      <c r="AN107" s="96">
        <v>1</v>
      </c>
      <c r="AO107" s="96">
        <v>1</v>
      </c>
      <c r="AP107" s="96">
        <v>1</v>
      </c>
      <c r="AQ107" s="96">
        <v>1</v>
      </c>
      <c r="AR107" s="96">
        <v>1</v>
      </c>
      <c r="AS107" s="96">
        <v>1</v>
      </c>
      <c r="AT107" s="96">
        <v>1</v>
      </c>
      <c r="AU107" s="96">
        <v>1</v>
      </c>
      <c r="AV107" s="96">
        <v>1</v>
      </c>
      <c r="AX107" s="168" t="s">
        <v>512</v>
      </c>
    </row>
    <row r="108" spans="1:50">
      <c r="A108" s="4" t="s">
        <v>17</v>
      </c>
      <c r="B108" s="176" t="s">
        <v>252</v>
      </c>
      <c r="C108" s="96" t="str">
        <f t="shared" si="125"/>
        <v>Commercial - Lighting</v>
      </c>
      <c r="I108" s="181"/>
      <c r="J108" s="96">
        <v>1</v>
      </c>
      <c r="K108" s="96">
        <v>1</v>
      </c>
      <c r="L108" s="96">
        <v>1</v>
      </c>
      <c r="M108" s="96">
        <v>1</v>
      </c>
      <c r="N108" s="96">
        <v>1</v>
      </c>
      <c r="O108" s="96">
        <v>1</v>
      </c>
      <c r="P108" s="96">
        <v>1</v>
      </c>
      <c r="Q108" s="96">
        <v>1</v>
      </c>
      <c r="R108" s="96">
        <v>1</v>
      </c>
      <c r="S108" s="96">
        <v>1</v>
      </c>
      <c r="T108" s="96">
        <v>1</v>
      </c>
      <c r="U108" s="96">
        <v>1</v>
      </c>
      <c r="V108" s="96">
        <v>1</v>
      </c>
      <c r="W108" s="96">
        <v>1</v>
      </c>
      <c r="X108" s="96">
        <v>1</v>
      </c>
      <c r="Y108" s="96">
        <v>1</v>
      </c>
      <c r="Z108" s="96">
        <v>1</v>
      </c>
      <c r="AA108" s="96">
        <v>1</v>
      </c>
      <c r="AB108" s="96">
        <v>1</v>
      </c>
      <c r="AC108" s="96">
        <v>1</v>
      </c>
      <c r="AD108" s="96">
        <v>1</v>
      </c>
      <c r="AE108" s="96">
        <v>1</v>
      </c>
      <c r="AF108" s="96">
        <v>1</v>
      </c>
      <c r="AG108" s="96">
        <v>1</v>
      </c>
      <c r="AH108" s="96">
        <v>1</v>
      </c>
      <c r="AI108" s="96">
        <v>1</v>
      </c>
      <c r="AJ108" s="96">
        <v>1</v>
      </c>
      <c r="AK108" s="96">
        <v>1</v>
      </c>
      <c r="AL108" s="96">
        <v>1</v>
      </c>
      <c r="AM108" s="96">
        <v>1</v>
      </c>
      <c r="AN108" s="96">
        <v>1</v>
      </c>
      <c r="AO108" s="96">
        <v>1</v>
      </c>
      <c r="AP108" s="96">
        <v>1</v>
      </c>
      <c r="AQ108" s="96">
        <v>1</v>
      </c>
      <c r="AR108" s="96">
        <v>1</v>
      </c>
      <c r="AS108" s="96">
        <v>1</v>
      </c>
      <c r="AT108" s="96">
        <v>1</v>
      </c>
      <c r="AU108" s="96">
        <v>1</v>
      </c>
      <c r="AV108" s="96">
        <v>1</v>
      </c>
      <c r="AX108" s="168" t="s">
        <v>513</v>
      </c>
    </row>
    <row r="109" spans="1:50">
      <c r="A109" s="4" t="s">
        <v>17</v>
      </c>
      <c r="B109" s="176" t="s">
        <v>253</v>
      </c>
      <c r="C109" s="96" t="str">
        <f t="shared" si="125"/>
        <v>Commercial - Refrigeration</v>
      </c>
      <c r="I109" s="181"/>
      <c r="J109" s="96">
        <v>1</v>
      </c>
      <c r="K109" s="96">
        <v>1</v>
      </c>
      <c r="L109" s="96">
        <v>1</v>
      </c>
      <c r="M109" s="96">
        <v>1</v>
      </c>
      <c r="N109" s="96">
        <v>1</v>
      </c>
      <c r="O109" s="96">
        <v>1</v>
      </c>
      <c r="P109" s="96">
        <v>1</v>
      </c>
      <c r="Q109" s="96">
        <v>1</v>
      </c>
      <c r="R109" s="96">
        <v>1</v>
      </c>
      <c r="S109" s="96">
        <v>1</v>
      </c>
      <c r="T109" s="96">
        <v>1</v>
      </c>
      <c r="U109" s="96">
        <v>1</v>
      </c>
      <c r="V109" s="96">
        <v>1</v>
      </c>
      <c r="W109" s="96">
        <v>1</v>
      </c>
      <c r="X109" s="96">
        <v>1</v>
      </c>
      <c r="Y109" s="96">
        <v>1</v>
      </c>
      <c r="Z109" s="96">
        <v>1</v>
      </c>
      <c r="AA109" s="96">
        <v>1</v>
      </c>
      <c r="AB109" s="96">
        <v>1</v>
      </c>
      <c r="AC109" s="96">
        <v>1</v>
      </c>
      <c r="AD109" s="96">
        <v>1</v>
      </c>
      <c r="AE109" s="96">
        <v>1</v>
      </c>
      <c r="AF109" s="96">
        <v>1</v>
      </c>
      <c r="AG109" s="96">
        <v>1</v>
      </c>
      <c r="AH109" s="96">
        <v>1</v>
      </c>
      <c r="AI109" s="96">
        <v>1</v>
      </c>
      <c r="AJ109" s="96">
        <v>1</v>
      </c>
      <c r="AK109" s="96">
        <v>1</v>
      </c>
      <c r="AL109" s="96">
        <v>1</v>
      </c>
      <c r="AM109" s="96">
        <v>1</v>
      </c>
      <c r="AN109" s="96">
        <v>1</v>
      </c>
      <c r="AO109" s="96">
        <v>1</v>
      </c>
      <c r="AP109" s="96">
        <v>1</v>
      </c>
      <c r="AQ109" s="96">
        <v>1</v>
      </c>
      <c r="AR109" s="96">
        <v>1</v>
      </c>
      <c r="AS109" s="96">
        <v>1</v>
      </c>
      <c r="AT109" s="96">
        <v>1</v>
      </c>
      <c r="AU109" s="96">
        <v>1</v>
      </c>
      <c r="AV109" s="96">
        <v>1</v>
      </c>
    </row>
    <row r="110" spans="1:50">
      <c r="A110" s="4" t="s">
        <v>17</v>
      </c>
      <c r="B110" s="176" t="s">
        <v>254</v>
      </c>
      <c r="C110" s="96" t="str">
        <f t="shared" si="125"/>
        <v>Commercial - Water Heating</v>
      </c>
      <c r="I110" s="181"/>
      <c r="J110" s="96">
        <v>1</v>
      </c>
      <c r="K110" s="96">
        <v>1</v>
      </c>
      <c r="L110" s="96">
        <v>1</v>
      </c>
      <c r="M110" s="96">
        <v>1</v>
      </c>
      <c r="N110" s="96">
        <v>1</v>
      </c>
      <c r="O110" s="96">
        <v>1</v>
      </c>
      <c r="P110" s="96">
        <v>1</v>
      </c>
      <c r="Q110" s="96">
        <v>1</v>
      </c>
      <c r="R110" s="96">
        <v>1</v>
      </c>
      <c r="S110" s="96">
        <v>1</v>
      </c>
      <c r="T110" s="96">
        <v>1</v>
      </c>
      <c r="U110" s="96">
        <v>1</v>
      </c>
      <c r="V110" s="96">
        <v>1</v>
      </c>
      <c r="W110" s="96">
        <v>1</v>
      </c>
      <c r="X110" s="96">
        <v>1</v>
      </c>
      <c r="Y110" s="96">
        <v>1</v>
      </c>
      <c r="Z110" s="96">
        <v>1</v>
      </c>
      <c r="AA110" s="96">
        <v>1</v>
      </c>
      <c r="AB110" s="96">
        <v>1</v>
      </c>
      <c r="AC110" s="96">
        <v>1</v>
      </c>
      <c r="AD110" s="96">
        <v>1</v>
      </c>
      <c r="AE110" s="96">
        <v>1</v>
      </c>
      <c r="AF110" s="96">
        <v>1</v>
      </c>
      <c r="AG110" s="96">
        <v>1</v>
      </c>
      <c r="AH110" s="96">
        <v>1</v>
      </c>
      <c r="AI110" s="96">
        <v>1</v>
      </c>
      <c r="AJ110" s="96">
        <v>1</v>
      </c>
      <c r="AK110" s="96">
        <v>1</v>
      </c>
      <c r="AL110" s="96">
        <v>1</v>
      </c>
      <c r="AM110" s="96">
        <v>1</v>
      </c>
      <c r="AN110" s="96">
        <v>1</v>
      </c>
      <c r="AO110" s="96">
        <v>1</v>
      </c>
      <c r="AP110" s="96">
        <v>1</v>
      </c>
      <c r="AQ110" s="96">
        <v>1</v>
      </c>
      <c r="AR110" s="96">
        <v>1</v>
      </c>
      <c r="AS110" s="96">
        <v>1</v>
      </c>
      <c r="AT110" s="96">
        <v>1</v>
      </c>
      <c r="AU110" s="96">
        <v>1</v>
      </c>
      <c r="AV110" s="96">
        <v>1</v>
      </c>
    </row>
    <row r="111" spans="1:50">
      <c r="A111" s="4" t="s">
        <v>17</v>
      </c>
      <c r="B111" s="176" t="s">
        <v>255</v>
      </c>
      <c r="C111" s="96" t="str">
        <f t="shared" si="125"/>
        <v>Commercial - Public lights</v>
      </c>
      <c r="I111" s="181"/>
      <c r="J111" s="96">
        <v>1</v>
      </c>
      <c r="K111" s="96">
        <v>1</v>
      </c>
      <c r="L111" s="96">
        <v>1</v>
      </c>
      <c r="M111" s="96">
        <v>1</v>
      </c>
      <c r="N111" s="96">
        <v>1</v>
      </c>
      <c r="O111" s="96">
        <v>1</v>
      </c>
      <c r="P111" s="96">
        <v>1</v>
      </c>
      <c r="Q111" s="96">
        <v>1</v>
      </c>
      <c r="R111" s="96">
        <v>1</v>
      </c>
      <c r="S111" s="96">
        <v>1</v>
      </c>
      <c r="T111" s="96">
        <v>1</v>
      </c>
      <c r="U111" s="96">
        <v>1</v>
      </c>
      <c r="V111" s="96">
        <v>1</v>
      </c>
      <c r="W111" s="96">
        <v>1</v>
      </c>
      <c r="X111" s="96">
        <v>1</v>
      </c>
      <c r="Y111" s="96">
        <v>1</v>
      </c>
      <c r="Z111" s="96">
        <v>1</v>
      </c>
      <c r="AA111" s="96">
        <v>1</v>
      </c>
      <c r="AB111" s="96">
        <v>1</v>
      </c>
      <c r="AC111" s="96">
        <v>1</v>
      </c>
      <c r="AD111" s="96">
        <v>1</v>
      </c>
      <c r="AE111" s="96">
        <v>1</v>
      </c>
      <c r="AF111" s="96">
        <v>1</v>
      </c>
      <c r="AG111" s="96">
        <v>1</v>
      </c>
      <c r="AH111" s="96">
        <v>1</v>
      </c>
      <c r="AI111" s="96">
        <v>1</v>
      </c>
      <c r="AJ111" s="96">
        <v>1</v>
      </c>
      <c r="AK111" s="96">
        <v>1</v>
      </c>
      <c r="AL111" s="96">
        <v>1</v>
      </c>
      <c r="AM111" s="96">
        <v>1</v>
      </c>
      <c r="AN111" s="96">
        <v>1</v>
      </c>
      <c r="AO111" s="96">
        <v>1</v>
      </c>
      <c r="AP111" s="96">
        <v>1</v>
      </c>
      <c r="AQ111" s="96">
        <v>1</v>
      </c>
      <c r="AR111" s="96">
        <v>1</v>
      </c>
      <c r="AS111" s="96">
        <v>1</v>
      </c>
      <c r="AT111" s="96">
        <v>1</v>
      </c>
      <c r="AU111" s="96">
        <v>1</v>
      </c>
      <c r="AV111" s="96">
        <v>1</v>
      </c>
    </row>
    <row r="112" spans="1:50">
      <c r="A112" s="4" t="s">
        <v>17</v>
      </c>
      <c r="B112" s="176" t="s">
        <v>256</v>
      </c>
      <c r="C112" s="96" t="str">
        <f t="shared" si="125"/>
        <v>Commercial - Public Water</v>
      </c>
      <c r="I112" s="181"/>
      <c r="J112" s="96">
        <v>1</v>
      </c>
      <c r="K112" s="96">
        <v>1</v>
      </c>
      <c r="L112" s="96">
        <v>1</v>
      </c>
      <c r="M112" s="96">
        <v>1</v>
      </c>
      <c r="N112" s="96">
        <v>1</v>
      </c>
      <c r="O112" s="96">
        <v>1</v>
      </c>
      <c r="P112" s="96">
        <v>1</v>
      </c>
      <c r="Q112" s="96">
        <v>1</v>
      </c>
      <c r="R112" s="96">
        <v>1</v>
      </c>
      <c r="S112" s="96">
        <v>1</v>
      </c>
      <c r="T112" s="96">
        <v>1</v>
      </c>
      <c r="U112" s="96">
        <v>1</v>
      </c>
      <c r="V112" s="96">
        <v>1</v>
      </c>
      <c r="W112" s="96">
        <v>1</v>
      </c>
      <c r="X112" s="96">
        <v>1</v>
      </c>
      <c r="Y112" s="96">
        <v>1</v>
      </c>
      <c r="Z112" s="96">
        <v>1</v>
      </c>
      <c r="AA112" s="96">
        <v>1</v>
      </c>
      <c r="AB112" s="96">
        <v>1</v>
      </c>
      <c r="AC112" s="96">
        <v>1</v>
      </c>
      <c r="AD112" s="96">
        <v>1</v>
      </c>
      <c r="AE112" s="96">
        <v>1</v>
      </c>
      <c r="AF112" s="96">
        <v>1</v>
      </c>
      <c r="AG112" s="96">
        <v>1</v>
      </c>
      <c r="AH112" s="96">
        <v>1</v>
      </c>
      <c r="AI112" s="96">
        <v>1</v>
      </c>
      <c r="AJ112" s="96">
        <v>1</v>
      </c>
      <c r="AK112" s="96">
        <v>1</v>
      </c>
      <c r="AL112" s="96">
        <v>1</v>
      </c>
      <c r="AM112" s="96">
        <v>1</v>
      </c>
      <c r="AN112" s="96">
        <v>1</v>
      </c>
      <c r="AO112" s="96">
        <v>1</v>
      </c>
      <c r="AP112" s="96">
        <v>1</v>
      </c>
      <c r="AQ112" s="96">
        <v>1</v>
      </c>
      <c r="AR112" s="96">
        <v>1</v>
      </c>
      <c r="AS112" s="96">
        <v>1</v>
      </c>
      <c r="AT112" s="96">
        <v>1</v>
      </c>
      <c r="AU112" s="96">
        <v>1</v>
      </c>
      <c r="AV112" s="96">
        <v>1</v>
      </c>
    </row>
    <row r="113" spans="1:48">
      <c r="A113" s="4" t="s">
        <v>17</v>
      </c>
      <c r="B113" s="176" t="s">
        <v>257</v>
      </c>
      <c r="C113" s="96" t="str">
        <f t="shared" si="125"/>
        <v>Commercial - Other</v>
      </c>
      <c r="I113" s="181"/>
      <c r="J113" s="96">
        <v>1</v>
      </c>
      <c r="K113" s="96">
        <v>1</v>
      </c>
      <c r="L113" s="96">
        <v>1</v>
      </c>
      <c r="M113" s="96">
        <v>1</v>
      </c>
      <c r="N113" s="96">
        <v>1</v>
      </c>
      <c r="O113" s="96">
        <v>1</v>
      </c>
      <c r="P113" s="96">
        <v>1</v>
      </c>
      <c r="Q113" s="96">
        <v>1</v>
      </c>
      <c r="R113" s="96">
        <v>1</v>
      </c>
      <c r="S113" s="96">
        <v>1</v>
      </c>
      <c r="T113" s="96">
        <v>1</v>
      </c>
      <c r="U113" s="96">
        <v>1</v>
      </c>
      <c r="V113" s="96">
        <v>1</v>
      </c>
      <c r="W113" s="96">
        <v>1</v>
      </c>
      <c r="X113" s="96">
        <v>1</v>
      </c>
      <c r="Y113" s="96">
        <v>1</v>
      </c>
      <c r="Z113" s="96">
        <v>1</v>
      </c>
      <c r="AA113" s="96">
        <v>1</v>
      </c>
      <c r="AB113" s="96">
        <v>1</v>
      </c>
      <c r="AC113" s="96">
        <v>1</v>
      </c>
      <c r="AD113" s="96">
        <v>1</v>
      </c>
      <c r="AE113" s="96">
        <v>1</v>
      </c>
      <c r="AF113" s="96">
        <v>1</v>
      </c>
      <c r="AG113" s="96">
        <v>1</v>
      </c>
      <c r="AH113" s="96">
        <v>1</v>
      </c>
      <c r="AI113" s="96">
        <v>1</v>
      </c>
      <c r="AJ113" s="96">
        <v>1</v>
      </c>
      <c r="AK113" s="96">
        <v>1</v>
      </c>
      <c r="AL113" s="96">
        <v>1</v>
      </c>
      <c r="AM113" s="96">
        <v>1</v>
      </c>
      <c r="AN113" s="96">
        <v>1</v>
      </c>
      <c r="AO113" s="96">
        <v>1</v>
      </c>
      <c r="AP113" s="96">
        <v>1</v>
      </c>
      <c r="AQ113" s="96">
        <v>1</v>
      </c>
      <c r="AR113" s="96">
        <v>1</v>
      </c>
      <c r="AS113" s="96">
        <v>1</v>
      </c>
      <c r="AT113" s="96">
        <v>1</v>
      </c>
      <c r="AU113" s="96">
        <v>1</v>
      </c>
      <c r="AV113" s="96">
        <v>1</v>
      </c>
    </row>
    <row r="114" spans="1:48">
      <c r="A114" s="4" t="s">
        <v>17</v>
      </c>
      <c r="B114" s="176"/>
      <c r="I114" s="181"/>
      <c r="K114" s="96"/>
    </row>
    <row r="115" spans="1:48" ht="15" thickBot="1">
      <c r="A115" s="4" t="s">
        <v>17</v>
      </c>
      <c r="B115" s="176"/>
      <c r="C115" s="93" t="s">
        <v>259</v>
      </c>
      <c r="I115" s="181"/>
      <c r="K115" s="96"/>
    </row>
    <row r="116" spans="1:48">
      <c r="A116" s="4" t="s">
        <v>17</v>
      </c>
      <c r="B116" s="176" t="str">
        <f>B105</f>
        <v>CNC</v>
      </c>
      <c r="C116" s="176" t="str">
        <f>C105</f>
        <v>Commercial - Cooling</v>
      </c>
      <c r="E116" s="104">
        <v>0</v>
      </c>
      <c r="I116" s="181"/>
      <c r="J116" s="184">
        <f t="shared" ref="J116:K124" si="126">(1-$E116)</f>
        <v>1</v>
      </c>
      <c r="K116" s="127">
        <f t="shared" si="126"/>
        <v>1</v>
      </c>
      <c r="L116" s="127">
        <f t="shared" ref="L116:AV123" si="127">(1-$E116)</f>
        <v>1</v>
      </c>
      <c r="M116" s="127">
        <f t="shared" si="127"/>
        <v>1</v>
      </c>
      <c r="N116" s="127">
        <f t="shared" si="127"/>
        <v>1</v>
      </c>
      <c r="O116" s="127">
        <f t="shared" si="127"/>
        <v>1</v>
      </c>
      <c r="P116" s="127">
        <f t="shared" si="127"/>
        <v>1</v>
      </c>
      <c r="Q116" s="127">
        <f t="shared" si="127"/>
        <v>1</v>
      </c>
      <c r="R116" s="127">
        <f t="shared" si="127"/>
        <v>1</v>
      </c>
      <c r="S116" s="127">
        <f t="shared" si="127"/>
        <v>1</v>
      </c>
      <c r="T116" s="127">
        <f t="shared" si="127"/>
        <v>1</v>
      </c>
      <c r="U116" s="127">
        <f t="shared" si="127"/>
        <v>1</v>
      </c>
      <c r="V116" s="127">
        <f t="shared" si="127"/>
        <v>1</v>
      </c>
      <c r="W116" s="127">
        <f t="shared" si="127"/>
        <v>1</v>
      </c>
      <c r="X116" s="127">
        <f t="shared" si="127"/>
        <v>1</v>
      </c>
      <c r="Y116" s="127">
        <f t="shared" si="127"/>
        <v>1</v>
      </c>
      <c r="Z116" s="127">
        <f t="shared" si="127"/>
        <v>1</v>
      </c>
      <c r="AA116" s="127">
        <f t="shared" si="127"/>
        <v>1</v>
      </c>
      <c r="AB116" s="127">
        <f t="shared" si="127"/>
        <v>1</v>
      </c>
      <c r="AC116" s="127">
        <f t="shared" si="127"/>
        <v>1</v>
      </c>
      <c r="AD116" s="127">
        <f t="shared" si="127"/>
        <v>1</v>
      </c>
      <c r="AE116" s="127">
        <f t="shared" si="127"/>
        <v>1</v>
      </c>
      <c r="AF116" s="127">
        <f t="shared" si="127"/>
        <v>1</v>
      </c>
      <c r="AG116" s="127">
        <f t="shared" si="127"/>
        <v>1</v>
      </c>
      <c r="AH116" s="127">
        <f t="shared" si="127"/>
        <v>1</v>
      </c>
      <c r="AI116" s="127">
        <f t="shared" si="127"/>
        <v>1</v>
      </c>
      <c r="AJ116" s="127">
        <f t="shared" si="127"/>
        <v>1</v>
      </c>
      <c r="AK116" s="127">
        <f t="shared" si="127"/>
        <v>1</v>
      </c>
      <c r="AL116" s="127">
        <f t="shared" si="127"/>
        <v>1</v>
      </c>
      <c r="AM116" s="127">
        <f t="shared" si="127"/>
        <v>1</v>
      </c>
      <c r="AN116" s="127">
        <f t="shared" si="127"/>
        <v>1</v>
      </c>
      <c r="AO116" s="127">
        <f t="shared" si="127"/>
        <v>1</v>
      </c>
      <c r="AP116" s="127">
        <f t="shared" si="127"/>
        <v>1</v>
      </c>
      <c r="AQ116" s="127">
        <f t="shared" si="127"/>
        <v>1</v>
      </c>
      <c r="AR116" s="127">
        <f t="shared" si="127"/>
        <v>1</v>
      </c>
      <c r="AS116" s="127">
        <f t="shared" si="127"/>
        <v>1</v>
      </c>
      <c r="AT116" s="127">
        <f t="shared" si="127"/>
        <v>1</v>
      </c>
      <c r="AU116" s="127">
        <f t="shared" si="127"/>
        <v>1</v>
      </c>
      <c r="AV116" s="127">
        <f t="shared" si="127"/>
        <v>1</v>
      </c>
    </row>
    <row r="117" spans="1:48">
      <c r="A117" s="4" t="s">
        <v>17</v>
      </c>
      <c r="B117" s="176" t="str">
        <f t="shared" ref="B117:C124" si="128">B106</f>
        <v>CNH</v>
      </c>
      <c r="C117" s="176" t="str">
        <f t="shared" si="128"/>
        <v>Commercial - Space Heating</v>
      </c>
      <c r="E117" s="104">
        <v>0</v>
      </c>
      <c r="I117" s="181"/>
      <c r="J117" s="184">
        <f t="shared" si="126"/>
        <v>1</v>
      </c>
      <c r="K117" s="127">
        <f t="shared" si="126"/>
        <v>1</v>
      </c>
      <c r="L117" s="127">
        <f t="shared" ref="L117:Y117" si="129">(1-$E117)</f>
        <v>1</v>
      </c>
      <c r="M117" s="127">
        <f t="shared" si="129"/>
        <v>1</v>
      </c>
      <c r="N117" s="127">
        <f t="shared" si="129"/>
        <v>1</v>
      </c>
      <c r="O117" s="127">
        <f t="shared" si="129"/>
        <v>1</v>
      </c>
      <c r="P117" s="127">
        <f t="shared" si="129"/>
        <v>1</v>
      </c>
      <c r="Q117" s="127">
        <f t="shared" si="129"/>
        <v>1</v>
      </c>
      <c r="R117" s="127">
        <f t="shared" si="129"/>
        <v>1</v>
      </c>
      <c r="S117" s="127">
        <f t="shared" si="129"/>
        <v>1</v>
      </c>
      <c r="T117" s="127">
        <f t="shared" si="129"/>
        <v>1</v>
      </c>
      <c r="U117" s="127">
        <f t="shared" si="129"/>
        <v>1</v>
      </c>
      <c r="V117" s="127">
        <f t="shared" si="129"/>
        <v>1</v>
      </c>
      <c r="W117" s="127">
        <f t="shared" si="129"/>
        <v>1</v>
      </c>
      <c r="X117" s="127">
        <f t="shared" si="129"/>
        <v>1</v>
      </c>
      <c r="Y117" s="127">
        <f t="shared" si="129"/>
        <v>1</v>
      </c>
      <c r="Z117" s="127">
        <f t="shared" si="127"/>
        <v>1</v>
      </c>
      <c r="AA117" s="127">
        <f t="shared" si="127"/>
        <v>1</v>
      </c>
      <c r="AB117" s="127">
        <f t="shared" si="127"/>
        <v>1</v>
      </c>
      <c r="AC117" s="127">
        <f t="shared" si="127"/>
        <v>1</v>
      </c>
      <c r="AD117" s="127">
        <f t="shared" si="127"/>
        <v>1</v>
      </c>
      <c r="AE117" s="127">
        <f t="shared" si="127"/>
        <v>1</v>
      </c>
      <c r="AF117" s="127">
        <f t="shared" si="127"/>
        <v>1</v>
      </c>
      <c r="AG117" s="127">
        <f t="shared" si="127"/>
        <v>1</v>
      </c>
      <c r="AH117" s="127">
        <f t="shared" si="127"/>
        <v>1</v>
      </c>
      <c r="AI117" s="127">
        <f t="shared" si="127"/>
        <v>1</v>
      </c>
      <c r="AJ117" s="127">
        <f t="shared" si="127"/>
        <v>1</v>
      </c>
      <c r="AK117" s="127">
        <f t="shared" si="127"/>
        <v>1</v>
      </c>
      <c r="AL117" s="127">
        <f t="shared" si="127"/>
        <v>1</v>
      </c>
      <c r="AM117" s="127">
        <f t="shared" si="127"/>
        <v>1</v>
      </c>
      <c r="AN117" s="127">
        <f t="shared" si="127"/>
        <v>1</v>
      </c>
      <c r="AO117" s="127">
        <f t="shared" si="127"/>
        <v>1</v>
      </c>
      <c r="AP117" s="127">
        <f t="shared" si="127"/>
        <v>1</v>
      </c>
      <c r="AQ117" s="127">
        <f t="shared" si="127"/>
        <v>1</v>
      </c>
      <c r="AR117" s="127">
        <f t="shared" si="127"/>
        <v>1</v>
      </c>
      <c r="AS117" s="127">
        <f t="shared" si="127"/>
        <v>1</v>
      </c>
      <c r="AT117" s="127">
        <f t="shared" si="127"/>
        <v>1</v>
      </c>
      <c r="AU117" s="127">
        <f t="shared" si="127"/>
        <v>1</v>
      </c>
      <c r="AV117" s="127">
        <f t="shared" si="127"/>
        <v>1</v>
      </c>
    </row>
    <row r="118" spans="1:48">
      <c r="A118" s="4" t="s">
        <v>17</v>
      </c>
      <c r="B118" s="176" t="str">
        <f t="shared" si="128"/>
        <v>CNK</v>
      </c>
      <c r="C118" s="176" t="str">
        <f t="shared" si="128"/>
        <v>Commercial - Cooking</v>
      </c>
      <c r="E118" s="104">
        <v>0</v>
      </c>
      <c r="I118" s="181"/>
      <c r="J118" s="184">
        <f t="shared" si="126"/>
        <v>1</v>
      </c>
      <c r="K118" s="127">
        <f t="shared" si="126"/>
        <v>1</v>
      </c>
      <c r="L118" s="127">
        <f t="shared" si="127"/>
        <v>1</v>
      </c>
      <c r="M118" s="127">
        <f>(1-$E118)</f>
        <v>1</v>
      </c>
      <c r="N118" s="127">
        <f t="shared" si="127"/>
        <v>1</v>
      </c>
      <c r="O118" s="127">
        <f t="shared" si="127"/>
        <v>1</v>
      </c>
      <c r="P118" s="127">
        <f t="shared" si="127"/>
        <v>1</v>
      </c>
      <c r="Q118" s="127">
        <f t="shared" si="127"/>
        <v>1</v>
      </c>
      <c r="R118" s="127">
        <f t="shared" si="127"/>
        <v>1</v>
      </c>
      <c r="S118" s="127">
        <f t="shared" si="127"/>
        <v>1</v>
      </c>
      <c r="T118" s="127">
        <f t="shared" si="127"/>
        <v>1</v>
      </c>
      <c r="U118" s="127">
        <f t="shared" si="127"/>
        <v>1</v>
      </c>
      <c r="V118" s="127">
        <f t="shared" si="127"/>
        <v>1</v>
      </c>
      <c r="W118" s="127">
        <f t="shared" si="127"/>
        <v>1</v>
      </c>
      <c r="X118" s="127">
        <f t="shared" si="127"/>
        <v>1</v>
      </c>
      <c r="Y118" s="127">
        <f t="shared" si="127"/>
        <v>1</v>
      </c>
      <c r="Z118" s="127">
        <f t="shared" si="127"/>
        <v>1</v>
      </c>
      <c r="AA118" s="127">
        <f t="shared" si="127"/>
        <v>1</v>
      </c>
      <c r="AB118" s="127">
        <f t="shared" si="127"/>
        <v>1</v>
      </c>
      <c r="AC118" s="127">
        <f t="shared" si="127"/>
        <v>1</v>
      </c>
      <c r="AD118" s="127">
        <f t="shared" si="127"/>
        <v>1</v>
      </c>
      <c r="AE118" s="127">
        <f t="shared" si="127"/>
        <v>1</v>
      </c>
      <c r="AF118" s="127">
        <f t="shared" si="127"/>
        <v>1</v>
      </c>
      <c r="AG118" s="127">
        <f t="shared" si="127"/>
        <v>1</v>
      </c>
      <c r="AH118" s="127">
        <f t="shared" si="127"/>
        <v>1</v>
      </c>
      <c r="AI118" s="127">
        <f t="shared" si="127"/>
        <v>1</v>
      </c>
      <c r="AJ118" s="127">
        <f t="shared" si="127"/>
        <v>1</v>
      </c>
      <c r="AK118" s="127">
        <f t="shared" si="127"/>
        <v>1</v>
      </c>
      <c r="AL118" s="127">
        <f t="shared" si="127"/>
        <v>1</v>
      </c>
      <c r="AM118" s="127">
        <f t="shared" si="127"/>
        <v>1</v>
      </c>
      <c r="AN118" s="127">
        <f t="shared" si="127"/>
        <v>1</v>
      </c>
      <c r="AO118" s="127">
        <f t="shared" si="127"/>
        <v>1</v>
      </c>
      <c r="AP118" s="127">
        <f t="shared" si="127"/>
        <v>1</v>
      </c>
      <c r="AQ118" s="127">
        <f t="shared" si="127"/>
        <v>1</v>
      </c>
      <c r="AR118" s="127">
        <f t="shared" si="127"/>
        <v>1</v>
      </c>
      <c r="AS118" s="127">
        <f t="shared" si="127"/>
        <v>1</v>
      </c>
      <c r="AT118" s="127">
        <f t="shared" si="127"/>
        <v>1</v>
      </c>
      <c r="AU118" s="127">
        <f t="shared" si="127"/>
        <v>1</v>
      </c>
      <c r="AV118" s="127">
        <f t="shared" si="127"/>
        <v>1</v>
      </c>
    </row>
    <row r="119" spans="1:48">
      <c r="A119" s="4" t="s">
        <v>17</v>
      </c>
      <c r="B119" s="176" t="str">
        <f t="shared" si="128"/>
        <v>CNL</v>
      </c>
      <c r="C119" s="176" t="str">
        <f t="shared" si="128"/>
        <v>Commercial - Lighting</v>
      </c>
      <c r="E119" s="104">
        <v>0</v>
      </c>
      <c r="I119" s="181"/>
      <c r="J119" s="184">
        <f t="shared" si="126"/>
        <v>1</v>
      </c>
      <c r="K119" s="127">
        <f t="shared" si="126"/>
        <v>1</v>
      </c>
      <c r="L119" s="127">
        <f t="shared" si="127"/>
        <v>1</v>
      </c>
      <c r="M119" s="127">
        <f t="shared" si="127"/>
        <v>1</v>
      </c>
      <c r="N119" s="127">
        <f t="shared" si="127"/>
        <v>1</v>
      </c>
      <c r="O119" s="127">
        <f t="shared" si="127"/>
        <v>1</v>
      </c>
      <c r="P119" s="127">
        <f t="shared" si="127"/>
        <v>1</v>
      </c>
      <c r="Q119" s="127">
        <f t="shared" si="127"/>
        <v>1</v>
      </c>
      <c r="R119" s="127">
        <f t="shared" si="127"/>
        <v>1</v>
      </c>
      <c r="S119" s="127">
        <f t="shared" si="127"/>
        <v>1</v>
      </c>
      <c r="T119" s="127">
        <f t="shared" si="127"/>
        <v>1</v>
      </c>
      <c r="U119" s="127">
        <f t="shared" si="127"/>
        <v>1</v>
      </c>
      <c r="V119" s="127">
        <f t="shared" si="127"/>
        <v>1</v>
      </c>
      <c r="W119" s="127">
        <f t="shared" si="127"/>
        <v>1</v>
      </c>
      <c r="X119" s="127">
        <f t="shared" si="127"/>
        <v>1</v>
      </c>
      <c r="Y119" s="127">
        <f t="shared" si="127"/>
        <v>1</v>
      </c>
      <c r="Z119" s="127">
        <f t="shared" si="127"/>
        <v>1</v>
      </c>
      <c r="AA119" s="127">
        <f t="shared" si="127"/>
        <v>1</v>
      </c>
      <c r="AB119" s="127">
        <f t="shared" si="127"/>
        <v>1</v>
      </c>
      <c r="AC119" s="127">
        <f t="shared" si="127"/>
        <v>1</v>
      </c>
      <c r="AD119" s="127">
        <f t="shared" si="127"/>
        <v>1</v>
      </c>
      <c r="AE119" s="127">
        <f t="shared" si="127"/>
        <v>1</v>
      </c>
      <c r="AF119" s="127">
        <f t="shared" si="127"/>
        <v>1</v>
      </c>
      <c r="AG119" s="127">
        <f t="shared" si="127"/>
        <v>1</v>
      </c>
      <c r="AH119" s="127">
        <f t="shared" si="127"/>
        <v>1</v>
      </c>
      <c r="AI119" s="127">
        <f t="shared" si="127"/>
        <v>1</v>
      </c>
      <c r="AJ119" s="127">
        <f t="shared" si="127"/>
        <v>1</v>
      </c>
      <c r="AK119" s="127">
        <f t="shared" si="127"/>
        <v>1</v>
      </c>
      <c r="AL119" s="127">
        <f t="shared" si="127"/>
        <v>1</v>
      </c>
      <c r="AM119" s="127">
        <f t="shared" si="127"/>
        <v>1</v>
      </c>
      <c r="AN119" s="127">
        <f t="shared" si="127"/>
        <v>1</v>
      </c>
      <c r="AO119" s="127">
        <f t="shared" si="127"/>
        <v>1</v>
      </c>
      <c r="AP119" s="127">
        <f t="shared" si="127"/>
        <v>1</v>
      </c>
      <c r="AQ119" s="127">
        <f t="shared" si="127"/>
        <v>1</v>
      </c>
      <c r="AR119" s="127">
        <f t="shared" si="127"/>
        <v>1</v>
      </c>
      <c r="AS119" s="127">
        <f t="shared" si="127"/>
        <v>1</v>
      </c>
      <c r="AT119" s="127">
        <f t="shared" si="127"/>
        <v>1</v>
      </c>
      <c r="AU119" s="127">
        <f t="shared" si="127"/>
        <v>1</v>
      </c>
      <c r="AV119" s="127">
        <f t="shared" si="127"/>
        <v>1</v>
      </c>
    </row>
    <row r="120" spans="1:48">
      <c r="A120" s="4" t="s">
        <v>17</v>
      </c>
      <c r="B120" s="176" t="str">
        <f t="shared" si="128"/>
        <v>CNR</v>
      </c>
      <c r="C120" s="176" t="str">
        <f t="shared" si="128"/>
        <v>Commercial - Refrigeration</v>
      </c>
      <c r="E120" s="104">
        <v>0</v>
      </c>
      <c r="I120" s="181"/>
      <c r="J120" s="184">
        <f t="shared" si="126"/>
        <v>1</v>
      </c>
      <c r="K120" s="127">
        <f t="shared" si="126"/>
        <v>1</v>
      </c>
      <c r="L120" s="127">
        <f t="shared" si="127"/>
        <v>1</v>
      </c>
      <c r="M120" s="127">
        <f t="shared" si="127"/>
        <v>1</v>
      </c>
      <c r="N120" s="127">
        <f t="shared" si="127"/>
        <v>1</v>
      </c>
      <c r="O120" s="127">
        <f t="shared" si="127"/>
        <v>1</v>
      </c>
      <c r="P120" s="127">
        <f t="shared" si="127"/>
        <v>1</v>
      </c>
      <c r="Q120" s="127">
        <f t="shared" si="127"/>
        <v>1</v>
      </c>
      <c r="R120" s="127">
        <f t="shared" si="127"/>
        <v>1</v>
      </c>
      <c r="S120" s="127">
        <f t="shared" si="127"/>
        <v>1</v>
      </c>
      <c r="T120" s="127">
        <f t="shared" si="127"/>
        <v>1</v>
      </c>
      <c r="U120" s="127">
        <f t="shared" si="127"/>
        <v>1</v>
      </c>
      <c r="V120" s="127">
        <f t="shared" si="127"/>
        <v>1</v>
      </c>
      <c r="W120" s="127">
        <f t="shared" si="127"/>
        <v>1</v>
      </c>
      <c r="X120" s="127">
        <f t="shared" si="127"/>
        <v>1</v>
      </c>
      <c r="Y120" s="127">
        <f t="shared" si="127"/>
        <v>1</v>
      </c>
      <c r="Z120" s="127">
        <f t="shared" si="127"/>
        <v>1</v>
      </c>
      <c r="AA120" s="127">
        <f t="shared" si="127"/>
        <v>1</v>
      </c>
      <c r="AB120" s="127">
        <f t="shared" si="127"/>
        <v>1</v>
      </c>
      <c r="AC120" s="127">
        <f t="shared" si="127"/>
        <v>1</v>
      </c>
      <c r="AD120" s="127">
        <f t="shared" si="127"/>
        <v>1</v>
      </c>
      <c r="AE120" s="127">
        <f t="shared" si="127"/>
        <v>1</v>
      </c>
      <c r="AF120" s="127">
        <f t="shared" si="127"/>
        <v>1</v>
      </c>
      <c r="AG120" s="127">
        <f t="shared" si="127"/>
        <v>1</v>
      </c>
      <c r="AH120" s="127">
        <f t="shared" si="127"/>
        <v>1</v>
      </c>
      <c r="AI120" s="127">
        <f t="shared" si="127"/>
        <v>1</v>
      </c>
      <c r="AJ120" s="127">
        <f t="shared" si="127"/>
        <v>1</v>
      </c>
      <c r="AK120" s="127">
        <f t="shared" si="127"/>
        <v>1</v>
      </c>
      <c r="AL120" s="127">
        <f t="shared" si="127"/>
        <v>1</v>
      </c>
      <c r="AM120" s="127">
        <f t="shared" si="127"/>
        <v>1</v>
      </c>
      <c r="AN120" s="127">
        <f t="shared" si="127"/>
        <v>1</v>
      </c>
      <c r="AO120" s="127">
        <f t="shared" si="127"/>
        <v>1</v>
      </c>
      <c r="AP120" s="127">
        <f t="shared" si="127"/>
        <v>1</v>
      </c>
      <c r="AQ120" s="127">
        <f t="shared" si="127"/>
        <v>1</v>
      </c>
      <c r="AR120" s="127">
        <f t="shared" si="127"/>
        <v>1</v>
      </c>
      <c r="AS120" s="127">
        <f t="shared" si="127"/>
        <v>1</v>
      </c>
      <c r="AT120" s="127">
        <f t="shared" si="127"/>
        <v>1</v>
      </c>
      <c r="AU120" s="127">
        <f t="shared" si="127"/>
        <v>1</v>
      </c>
      <c r="AV120" s="127">
        <f t="shared" si="127"/>
        <v>1</v>
      </c>
    </row>
    <row r="121" spans="1:48">
      <c r="A121" s="4" t="s">
        <v>17</v>
      </c>
      <c r="B121" s="176" t="str">
        <f t="shared" si="128"/>
        <v>CNW</v>
      </c>
      <c r="C121" s="176" t="str">
        <f t="shared" si="128"/>
        <v>Commercial - Water Heating</v>
      </c>
      <c r="E121" s="104">
        <v>0</v>
      </c>
      <c r="I121" s="181"/>
      <c r="J121" s="184">
        <f t="shared" si="126"/>
        <v>1</v>
      </c>
      <c r="K121" s="127">
        <f t="shared" si="126"/>
        <v>1</v>
      </c>
      <c r="L121" s="127">
        <f t="shared" si="127"/>
        <v>1</v>
      </c>
      <c r="M121" s="127">
        <f t="shared" si="127"/>
        <v>1</v>
      </c>
      <c r="N121" s="127">
        <f t="shared" si="127"/>
        <v>1</v>
      </c>
      <c r="O121" s="127">
        <f t="shared" si="127"/>
        <v>1</v>
      </c>
      <c r="P121" s="127">
        <f t="shared" si="127"/>
        <v>1</v>
      </c>
      <c r="Q121" s="127">
        <f t="shared" si="127"/>
        <v>1</v>
      </c>
      <c r="R121" s="127">
        <f t="shared" si="127"/>
        <v>1</v>
      </c>
      <c r="S121" s="127">
        <f t="shared" si="127"/>
        <v>1</v>
      </c>
      <c r="T121" s="127">
        <f t="shared" si="127"/>
        <v>1</v>
      </c>
      <c r="U121" s="127">
        <f t="shared" si="127"/>
        <v>1</v>
      </c>
      <c r="V121" s="127">
        <f t="shared" si="127"/>
        <v>1</v>
      </c>
      <c r="W121" s="127">
        <f t="shared" si="127"/>
        <v>1</v>
      </c>
      <c r="X121" s="127">
        <f t="shared" si="127"/>
        <v>1</v>
      </c>
      <c r="Y121" s="127">
        <f t="shared" si="127"/>
        <v>1</v>
      </c>
      <c r="Z121" s="127">
        <f t="shared" si="127"/>
        <v>1</v>
      </c>
      <c r="AA121" s="127">
        <f t="shared" si="127"/>
        <v>1</v>
      </c>
      <c r="AB121" s="127">
        <f t="shared" si="127"/>
        <v>1</v>
      </c>
      <c r="AC121" s="127">
        <f t="shared" si="127"/>
        <v>1</v>
      </c>
      <c r="AD121" s="127">
        <f t="shared" si="127"/>
        <v>1</v>
      </c>
      <c r="AE121" s="127">
        <f t="shared" si="127"/>
        <v>1</v>
      </c>
      <c r="AF121" s="127">
        <f t="shared" si="127"/>
        <v>1</v>
      </c>
      <c r="AG121" s="127">
        <f t="shared" si="127"/>
        <v>1</v>
      </c>
      <c r="AH121" s="127">
        <f t="shared" si="127"/>
        <v>1</v>
      </c>
      <c r="AI121" s="127">
        <f t="shared" si="127"/>
        <v>1</v>
      </c>
      <c r="AJ121" s="127">
        <f t="shared" si="127"/>
        <v>1</v>
      </c>
      <c r="AK121" s="127">
        <f t="shared" si="127"/>
        <v>1</v>
      </c>
      <c r="AL121" s="127">
        <f t="shared" si="127"/>
        <v>1</v>
      </c>
      <c r="AM121" s="127">
        <f t="shared" si="127"/>
        <v>1</v>
      </c>
      <c r="AN121" s="127">
        <f t="shared" si="127"/>
        <v>1</v>
      </c>
      <c r="AO121" s="127">
        <f t="shared" si="127"/>
        <v>1</v>
      </c>
      <c r="AP121" s="127">
        <f t="shared" si="127"/>
        <v>1</v>
      </c>
      <c r="AQ121" s="127">
        <f t="shared" si="127"/>
        <v>1</v>
      </c>
      <c r="AR121" s="127">
        <f t="shared" si="127"/>
        <v>1</v>
      </c>
      <c r="AS121" s="127">
        <f t="shared" si="127"/>
        <v>1</v>
      </c>
      <c r="AT121" s="127">
        <f t="shared" si="127"/>
        <v>1</v>
      </c>
      <c r="AU121" s="127">
        <f t="shared" si="127"/>
        <v>1</v>
      </c>
      <c r="AV121" s="127">
        <f t="shared" si="127"/>
        <v>1</v>
      </c>
    </row>
    <row r="122" spans="1:48">
      <c r="A122" s="4" t="s">
        <v>17</v>
      </c>
      <c r="B122" s="176" t="str">
        <f t="shared" si="128"/>
        <v>CNG</v>
      </c>
      <c r="C122" s="176" t="str">
        <f t="shared" si="128"/>
        <v>Commercial - Public lights</v>
      </c>
      <c r="E122" s="104">
        <v>0</v>
      </c>
      <c r="I122" s="181"/>
      <c r="J122" s="184">
        <f t="shared" si="126"/>
        <v>1</v>
      </c>
      <c r="K122" s="127">
        <f t="shared" si="126"/>
        <v>1</v>
      </c>
      <c r="L122" s="127">
        <f t="shared" si="127"/>
        <v>1</v>
      </c>
      <c r="M122" s="127">
        <f t="shared" si="127"/>
        <v>1</v>
      </c>
      <c r="N122" s="127">
        <f t="shared" si="127"/>
        <v>1</v>
      </c>
      <c r="O122" s="127">
        <f t="shared" si="127"/>
        <v>1</v>
      </c>
      <c r="P122" s="127">
        <f t="shared" si="127"/>
        <v>1</v>
      </c>
      <c r="Q122" s="127">
        <f t="shared" si="127"/>
        <v>1</v>
      </c>
      <c r="R122" s="127">
        <f t="shared" si="127"/>
        <v>1</v>
      </c>
      <c r="S122" s="127">
        <f t="shared" si="127"/>
        <v>1</v>
      </c>
      <c r="T122" s="127">
        <f t="shared" si="127"/>
        <v>1</v>
      </c>
      <c r="U122" s="127">
        <f t="shared" si="127"/>
        <v>1</v>
      </c>
      <c r="V122" s="127">
        <f t="shared" si="127"/>
        <v>1</v>
      </c>
      <c r="W122" s="127">
        <f t="shared" si="127"/>
        <v>1</v>
      </c>
      <c r="X122" s="127">
        <f t="shared" si="127"/>
        <v>1</v>
      </c>
      <c r="Y122" s="127">
        <f t="shared" si="127"/>
        <v>1</v>
      </c>
      <c r="Z122" s="127">
        <f t="shared" si="127"/>
        <v>1</v>
      </c>
      <c r="AA122" s="127">
        <f t="shared" si="127"/>
        <v>1</v>
      </c>
      <c r="AB122" s="127">
        <f t="shared" si="127"/>
        <v>1</v>
      </c>
      <c r="AC122" s="127">
        <f t="shared" si="127"/>
        <v>1</v>
      </c>
      <c r="AD122" s="127">
        <f t="shared" si="127"/>
        <v>1</v>
      </c>
      <c r="AE122" s="127">
        <f t="shared" si="127"/>
        <v>1</v>
      </c>
      <c r="AF122" s="127">
        <f t="shared" si="127"/>
        <v>1</v>
      </c>
      <c r="AG122" s="127">
        <f t="shared" si="127"/>
        <v>1</v>
      </c>
      <c r="AH122" s="127">
        <f t="shared" si="127"/>
        <v>1</v>
      </c>
      <c r="AI122" s="127">
        <f t="shared" si="127"/>
        <v>1</v>
      </c>
      <c r="AJ122" s="127">
        <f t="shared" si="127"/>
        <v>1</v>
      </c>
      <c r="AK122" s="127">
        <f t="shared" si="127"/>
        <v>1</v>
      </c>
      <c r="AL122" s="127">
        <f t="shared" si="127"/>
        <v>1</v>
      </c>
      <c r="AM122" s="127">
        <f t="shared" si="127"/>
        <v>1</v>
      </c>
      <c r="AN122" s="127">
        <f t="shared" si="127"/>
        <v>1</v>
      </c>
      <c r="AO122" s="127">
        <f t="shared" si="127"/>
        <v>1</v>
      </c>
      <c r="AP122" s="127">
        <f t="shared" si="127"/>
        <v>1</v>
      </c>
      <c r="AQ122" s="127">
        <f t="shared" si="127"/>
        <v>1</v>
      </c>
      <c r="AR122" s="127">
        <f t="shared" si="127"/>
        <v>1</v>
      </c>
      <c r="AS122" s="127">
        <f t="shared" si="127"/>
        <v>1</v>
      </c>
      <c r="AT122" s="127">
        <f t="shared" si="127"/>
        <v>1</v>
      </c>
      <c r="AU122" s="127">
        <f t="shared" si="127"/>
        <v>1</v>
      </c>
      <c r="AV122" s="127">
        <f t="shared" si="127"/>
        <v>1</v>
      </c>
    </row>
    <row r="123" spans="1:48">
      <c r="A123" s="4" t="s">
        <v>17</v>
      </c>
      <c r="B123" s="176" t="str">
        <f t="shared" si="128"/>
        <v>CNT</v>
      </c>
      <c r="C123" s="176" t="str">
        <f t="shared" si="128"/>
        <v>Commercial - Public Water</v>
      </c>
      <c r="E123" s="104">
        <v>0</v>
      </c>
      <c r="I123" s="181"/>
      <c r="J123" s="184">
        <f t="shared" si="126"/>
        <v>1</v>
      </c>
      <c r="K123" s="127">
        <f t="shared" si="126"/>
        <v>1</v>
      </c>
      <c r="L123" s="127">
        <f t="shared" si="127"/>
        <v>1</v>
      </c>
      <c r="M123" s="127">
        <f t="shared" si="127"/>
        <v>1</v>
      </c>
      <c r="N123" s="127">
        <f t="shared" si="127"/>
        <v>1</v>
      </c>
      <c r="O123" s="127">
        <f t="shared" si="127"/>
        <v>1</v>
      </c>
      <c r="P123" s="127">
        <f t="shared" si="127"/>
        <v>1</v>
      </c>
      <c r="Q123" s="127">
        <f t="shared" si="127"/>
        <v>1</v>
      </c>
      <c r="R123" s="127">
        <f t="shared" si="127"/>
        <v>1</v>
      </c>
      <c r="S123" s="127">
        <f t="shared" si="127"/>
        <v>1</v>
      </c>
      <c r="T123" s="127">
        <f t="shared" si="127"/>
        <v>1</v>
      </c>
      <c r="U123" s="127">
        <f t="shared" si="127"/>
        <v>1</v>
      </c>
      <c r="V123" s="127">
        <f t="shared" ref="L123:AV124" si="130">(1-$E123)</f>
        <v>1</v>
      </c>
      <c r="W123" s="127">
        <f t="shared" si="130"/>
        <v>1</v>
      </c>
      <c r="X123" s="127">
        <f t="shared" si="130"/>
        <v>1</v>
      </c>
      <c r="Y123" s="127">
        <f t="shared" si="130"/>
        <v>1</v>
      </c>
      <c r="Z123" s="127">
        <f t="shared" si="130"/>
        <v>1</v>
      </c>
      <c r="AA123" s="127">
        <f t="shared" si="130"/>
        <v>1</v>
      </c>
      <c r="AB123" s="127">
        <f t="shared" si="130"/>
        <v>1</v>
      </c>
      <c r="AC123" s="127">
        <f t="shared" si="130"/>
        <v>1</v>
      </c>
      <c r="AD123" s="127">
        <f t="shared" si="130"/>
        <v>1</v>
      </c>
      <c r="AE123" s="127">
        <f t="shared" si="130"/>
        <v>1</v>
      </c>
      <c r="AF123" s="127">
        <f t="shared" si="130"/>
        <v>1</v>
      </c>
      <c r="AG123" s="127">
        <f t="shared" si="130"/>
        <v>1</v>
      </c>
      <c r="AH123" s="127">
        <f t="shared" si="130"/>
        <v>1</v>
      </c>
      <c r="AI123" s="127">
        <f t="shared" si="130"/>
        <v>1</v>
      </c>
      <c r="AJ123" s="127">
        <f t="shared" si="130"/>
        <v>1</v>
      </c>
      <c r="AK123" s="127">
        <f t="shared" si="130"/>
        <v>1</v>
      </c>
      <c r="AL123" s="127">
        <f t="shared" si="130"/>
        <v>1</v>
      </c>
      <c r="AM123" s="127">
        <f t="shared" si="130"/>
        <v>1</v>
      </c>
      <c r="AN123" s="127">
        <f t="shared" si="130"/>
        <v>1</v>
      </c>
      <c r="AO123" s="127">
        <f t="shared" si="130"/>
        <v>1</v>
      </c>
      <c r="AP123" s="127">
        <f t="shared" si="130"/>
        <v>1</v>
      </c>
      <c r="AQ123" s="127">
        <f t="shared" si="130"/>
        <v>1</v>
      </c>
      <c r="AR123" s="127">
        <f t="shared" si="130"/>
        <v>1</v>
      </c>
      <c r="AS123" s="127">
        <f t="shared" si="130"/>
        <v>1</v>
      </c>
      <c r="AT123" s="127">
        <f t="shared" si="130"/>
        <v>1</v>
      </c>
      <c r="AU123" s="127">
        <f t="shared" si="130"/>
        <v>1</v>
      </c>
      <c r="AV123" s="127">
        <f t="shared" si="130"/>
        <v>1</v>
      </c>
    </row>
    <row r="124" spans="1:48">
      <c r="A124" s="4" t="s">
        <v>17</v>
      </c>
      <c r="B124" s="176" t="str">
        <f t="shared" si="128"/>
        <v>CNO</v>
      </c>
      <c r="C124" s="176" t="str">
        <f t="shared" si="128"/>
        <v>Commercial - Other</v>
      </c>
      <c r="E124" s="104">
        <v>0</v>
      </c>
      <c r="I124" s="181"/>
      <c r="J124" s="184">
        <f t="shared" si="126"/>
        <v>1</v>
      </c>
      <c r="K124" s="127">
        <f t="shared" si="126"/>
        <v>1</v>
      </c>
      <c r="L124" s="127">
        <f t="shared" si="130"/>
        <v>1</v>
      </c>
      <c r="M124" s="127">
        <f t="shared" si="130"/>
        <v>1</v>
      </c>
      <c r="N124" s="127">
        <f t="shared" si="130"/>
        <v>1</v>
      </c>
      <c r="O124" s="127">
        <f t="shared" si="130"/>
        <v>1</v>
      </c>
      <c r="P124" s="127">
        <f t="shared" si="130"/>
        <v>1</v>
      </c>
      <c r="Q124" s="127">
        <f t="shared" si="130"/>
        <v>1</v>
      </c>
      <c r="R124" s="127">
        <f t="shared" si="130"/>
        <v>1</v>
      </c>
      <c r="S124" s="127">
        <f t="shared" si="130"/>
        <v>1</v>
      </c>
      <c r="T124" s="127">
        <f t="shared" si="130"/>
        <v>1</v>
      </c>
      <c r="U124" s="127">
        <f t="shared" si="130"/>
        <v>1</v>
      </c>
      <c r="V124" s="127">
        <f t="shared" si="130"/>
        <v>1</v>
      </c>
      <c r="W124" s="127">
        <f t="shared" si="130"/>
        <v>1</v>
      </c>
      <c r="X124" s="127">
        <f t="shared" si="130"/>
        <v>1</v>
      </c>
      <c r="Y124" s="127">
        <f t="shared" si="130"/>
        <v>1</v>
      </c>
      <c r="Z124" s="127">
        <f t="shared" si="130"/>
        <v>1</v>
      </c>
      <c r="AA124" s="127">
        <f t="shared" si="130"/>
        <v>1</v>
      </c>
      <c r="AB124" s="127">
        <f t="shared" si="130"/>
        <v>1</v>
      </c>
      <c r="AC124" s="127">
        <f t="shared" si="130"/>
        <v>1</v>
      </c>
      <c r="AD124" s="127">
        <f t="shared" si="130"/>
        <v>1</v>
      </c>
      <c r="AE124" s="127">
        <f t="shared" si="130"/>
        <v>1</v>
      </c>
      <c r="AF124" s="127">
        <f t="shared" si="130"/>
        <v>1</v>
      </c>
      <c r="AG124" s="127">
        <f t="shared" si="130"/>
        <v>1</v>
      </c>
      <c r="AH124" s="127">
        <f t="shared" si="130"/>
        <v>1</v>
      </c>
      <c r="AI124" s="127">
        <f t="shared" si="130"/>
        <v>1</v>
      </c>
      <c r="AJ124" s="127">
        <f t="shared" si="130"/>
        <v>1</v>
      </c>
      <c r="AK124" s="127">
        <f t="shared" si="130"/>
        <v>1</v>
      </c>
      <c r="AL124" s="127">
        <f t="shared" si="130"/>
        <v>1</v>
      </c>
      <c r="AM124" s="127">
        <f t="shared" si="130"/>
        <v>1</v>
      </c>
      <c r="AN124" s="127">
        <f t="shared" si="130"/>
        <v>1</v>
      </c>
      <c r="AO124" s="127">
        <f t="shared" si="130"/>
        <v>1</v>
      </c>
      <c r="AP124" s="127">
        <f t="shared" si="130"/>
        <v>1</v>
      </c>
      <c r="AQ124" s="127">
        <f t="shared" si="130"/>
        <v>1</v>
      </c>
      <c r="AR124" s="127">
        <f t="shared" si="130"/>
        <v>1</v>
      </c>
      <c r="AS124" s="127">
        <f t="shared" si="130"/>
        <v>1</v>
      </c>
      <c r="AT124" s="127">
        <f t="shared" si="130"/>
        <v>1</v>
      </c>
      <c r="AU124" s="127">
        <f t="shared" si="130"/>
        <v>1</v>
      </c>
      <c r="AV124" s="127">
        <f t="shared" si="130"/>
        <v>1</v>
      </c>
    </row>
    <row r="125" spans="1:48">
      <c r="A125" s="4" t="s">
        <v>17</v>
      </c>
      <c r="B125" s="176"/>
      <c r="C125" s="176"/>
      <c r="I125" s="181"/>
      <c r="K125" s="96"/>
    </row>
    <row r="126" spans="1:48" ht="15" thickBot="1">
      <c r="A126" s="4" t="s">
        <v>17</v>
      </c>
      <c r="B126" s="176"/>
      <c r="C126" s="93" t="s">
        <v>260</v>
      </c>
      <c r="I126" s="181"/>
      <c r="K126" s="96"/>
    </row>
    <row r="127" spans="1:48">
      <c r="A127" s="4" t="s">
        <v>17</v>
      </c>
      <c r="B127" s="176" t="str">
        <f t="shared" ref="B127:C135" si="131">B116</f>
        <v>CNC</v>
      </c>
      <c r="C127" s="176" t="str">
        <f t="shared" si="131"/>
        <v>Commercial - Cooling</v>
      </c>
      <c r="E127" s="170">
        <f t="shared" ref="E127:E135" si="132">E116+$AX$106</f>
        <v>0.01</v>
      </c>
      <c r="I127" s="181"/>
      <c r="J127" s="185">
        <f t="shared" ref="J127:AV133" si="133">J116*(1-$E127)</f>
        <v>0.99</v>
      </c>
      <c r="K127" s="122">
        <f t="shared" si="133"/>
        <v>0.99</v>
      </c>
      <c r="L127" s="122">
        <f t="shared" si="133"/>
        <v>0.99</v>
      </c>
      <c r="M127" s="122">
        <f t="shared" si="133"/>
        <v>0.99</v>
      </c>
      <c r="N127" s="122">
        <f t="shared" si="133"/>
        <v>0.99</v>
      </c>
      <c r="O127" s="122">
        <f t="shared" si="133"/>
        <v>0.99</v>
      </c>
      <c r="P127" s="122">
        <f t="shared" si="133"/>
        <v>0.99</v>
      </c>
      <c r="Q127" s="122">
        <f t="shared" si="133"/>
        <v>0.99</v>
      </c>
      <c r="R127" s="122">
        <f t="shared" si="133"/>
        <v>0.99</v>
      </c>
      <c r="S127" s="122">
        <f t="shared" si="133"/>
        <v>0.99</v>
      </c>
      <c r="T127" s="122">
        <f t="shared" si="133"/>
        <v>0.99</v>
      </c>
      <c r="U127" s="122">
        <f t="shared" si="133"/>
        <v>0.99</v>
      </c>
      <c r="V127" s="122">
        <f t="shared" si="133"/>
        <v>0.99</v>
      </c>
      <c r="W127" s="122">
        <f t="shared" si="133"/>
        <v>0.99</v>
      </c>
      <c r="X127" s="122">
        <f t="shared" si="133"/>
        <v>0.99</v>
      </c>
      <c r="Y127" s="122">
        <f t="shared" si="133"/>
        <v>0.99</v>
      </c>
      <c r="Z127" s="122">
        <f t="shared" si="133"/>
        <v>0.99</v>
      </c>
      <c r="AA127" s="122">
        <f t="shared" si="133"/>
        <v>0.99</v>
      </c>
      <c r="AB127" s="122">
        <f t="shared" si="133"/>
        <v>0.99</v>
      </c>
      <c r="AC127" s="122">
        <f t="shared" si="133"/>
        <v>0.99</v>
      </c>
      <c r="AD127" s="122">
        <f t="shared" si="133"/>
        <v>0.99</v>
      </c>
      <c r="AE127" s="122">
        <f t="shared" si="133"/>
        <v>0.99</v>
      </c>
      <c r="AF127" s="122">
        <f t="shared" si="133"/>
        <v>0.99</v>
      </c>
      <c r="AG127" s="122">
        <f t="shared" si="133"/>
        <v>0.99</v>
      </c>
      <c r="AH127" s="122">
        <f t="shared" si="133"/>
        <v>0.99</v>
      </c>
      <c r="AI127" s="122">
        <f t="shared" si="133"/>
        <v>0.99</v>
      </c>
      <c r="AJ127" s="122">
        <f t="shared" si="133"/>
        <v>0.99</v>
      </c>
      <c r="AK127" s="122">
        <f t="shared" si="133"/>
        <v>0.99</v>
      </c>
      <c r="AL127" s="122">
        <f t="shared" si="133"/>
        <v>0.99</v>
      </c>
      <c r="AM127" s="122">
        <f t="shared" si="133"/>
        <v>0.99</v>
      </c>
      <c r="AN127" s="122">
        <f t="shared" si="133"/>
        <v>0.99</v>
      </c>
      <c r="AO127" s="122">
        <f t="shared" si="133"/>
        <v>0.99</v>
      </c>
      <c r="AP127" s="122">
        <f t="shared" si="133"/>
        <v>0.99</v>
      </c>
      <c r="AQ127" s="122">
        <f t="shared" si="133"/>
        <v>0.99</v>
      </c>
      <c r="AR127" s="122">
        <f t="shared" si="133"/>
        <v>0.99</v>
      </c>
      <c r="AS127" s="122">
        <f t="shared" si="133"/>
        <v>0.99</v>
      </c>
      <c r="AT127" s="122">
        <f t="shared" si="133"/>
        <v>0.99</v>
      </c>
      <c r="AU127" s="122">
        <f t="shared" si="133"/>
        <v>0.99</v>
      </c>
      <c r="AV127" s="122">
        <f t="shared" si="133"/>
        <v>0.99</v>
      </c>
    </row>
    <row r="128" spans="1:48">
      <c r="A128" s="4" t="s">
        <v>17</v>
      </c>
      <c r="B128" s="176" t="str">
        <f t="shared" si="131"/>
        <v>CNH</v>
      </c>
      <c r="C128" s="176" t="str">
        <f t="shared" si="131"/>
        <v>Commercial - Space Heating</v>
      </c>
      <c r="E128" s="170">
        <f t="shared" si="132"/>
        <v>0.01</v>
      </c>
      <c r="I128" s="181"/>
      <c r="J128" s="185">
        <f t="shared" si="133"/>
        <v>0.99</v>
      </c>
      <c r="K128" s="122">
        <f t="shared" si="133"/>
        <v>0.99</v>
      </c>
      <c r="L128" s="122">
        <f t="shared" si="133"/>
        <v>0.99</v>
      </c>
      <c r="M128" s="122">
        <f t="shared" si="133"/>
        <v>0.99</v>
      </c>
      <c r="N128" s="122">
        <f t="shared" si="133"/>
        <v>0.99</v>
      </c>
      <c r="O128" s="122">
        <f t="shared" si="133"/>
        <v>0.99</v>
      </c>
      <c r="P128" s="122">
        <f t="shared" si="133"/>
        <v>0.99</v>
      </c>
      <c r="Q128" s="122">
        <f t="shared" si="133"/>
        <v>0.99</v>
      </c>
      <c r="R128" s="122">
        <f t="shared" si="133"/>
        <v>0.99</v>
      </c>
      <c r="S128" s="122">
        <f t="shared" si="133"/>
        <v>0.99</v>
      </c>
      <c r="T128" s="122">
        <f t="shared" si="133"/>
        <v>0.99</v>
      </c>
      <c r="U128" s="122">
        <f t="shared" si="133"/>
        <v>0.99</v>
      </c>
      <c r="V128" s="122">
        <f t="shared" si="133"/>
        <v>0.99</v>
      </c>
      <c r="W128" s="122">
        <f t="shared" si="133"/>
        <v>0.99</v>
      </c>
      <c r="X128" s="122">
        <f t="shared" si="133"/>
        <v>0.99</v>
      </c>
      <c r="Y128" s="122">
        <f t="shared" si="133"/>
        <v>0.99</v>
      </c>
      <c r="Z128" s="122">
        <f t="shared" si="133"/>
        <v>0.99</v>
      </c>
      <c r="AA128" s="122">
        <f t="shared" si="133"/>
        <v>0.99</v>
      </c>
      <c r="AB128" s="122">
        <f t="shared" si="133"/>
        <v>0.99</v>
      </c>
      <c r="AC128" s="122">
        <f t="shared" si="133"/>
        <v>0.99</v>
      </c>
      <c r="AD128" s="122">
        <f t="shared" si="133"/>
        <v>0.99</v>
      </c>
      <c r="AE128" s="122">
        <f t="shared" si="133"/>
        <v>0.99</v>
      </c>
      <c r="AF128" s="122">
        <f t="shared" si="133"/>
        <v>0.99</v>
      </c>
      <c r="AG128" s="122">
        <f t="shared" si="133"/>
        <v>0.99</v>
      </c>
      <c r="AH128" s="122">
        <f t="shared" si="133"/>
        <v>0.99</v>
      </c>
      <c r="AI128" s="122">
        <f t="shared" si="133"/>
        <v>0.99</v>
      </c>
      <c r="AJ128" s="122">
        <f t="shared" si="133"/>
        <v>0.99</v>
      </c>
      <c r="AK128" s="122">
        <f t="shared" si="133"/>
        <v>0.99</v>
      </c>
      <c r="AL128" s="122">
        <f t="shared" si="133"/>
        <v>0.99</v>
      </c>
      <c r="AM128" s="122">
        <f t="shared" si="133"/>
        <v>0.99</v>
      </c>
      <c r="AN128" s="122">
        <f t="shared" si="133"/>
        <v>0.99</v>
      </c>
      <c r="AO128" s="122">
        <f t="shared" si="133"/>
        <v>0.99</v>
      </c>
      <c r="AP128" s="122">
        <f t="shared" si="133"/>
        <v>0.99</v>
      </c>
      <c r="AQ128" s="122">
        <f t="shared" si="133"/>
        <v>0.99</v>
      </c>
      <c r="AR128" s="122">
        <f t="shared" si="133"/>
        <v>0.99</v>
      </c>
      <c r="AS128" s="122">
        <f t="shared" si="133"/>
        <v>0.99</v>
      </c>
      <c r="AT128" s="122">
        <f t="shared" si="133"/>
        <v>0.99</v>
      </c>
      <c r="AU128" s="122">
        <f t="shared" si="133"/>
        <v>0.99</v>
      </c>
      <c r="AV128" s="122">
        <f t="shared" si="133"/>
        <v>0.99</v>
      </c>
    </row>
    <row r="129" spans="1:48">
      <c r="A129" s="4" t="s">
        <v>17</v>
      </c>
      <c r="B129" s="176" t="str">
        <f t="shared" si="131"/>
        <v>CNK</v>
      </c>
      <c r="C129" s="176" t="str">
        <f t="shared" si="131"/>
        <v>Commercial - Cooking</v>
      </c>
      <c r="E129" s="170">
        <f t="shared" si="132"/>
        <v>0.01</v>
      </c>
      <c r="I129" s="181"/>
      <c r="J129" s="185">
        <f t="shared" si="133"/>
        <v>0.99</v>
      </c>
      <c r="K129" s="122">
        <f t="shared" si="133"/>
        <v>0.99</v>
      </c>
      <c r="L129" s="122">
        <f t="shared" si="133"/>
        <v>0.99</v>
      </c>
      <c r="M129" s="122">
        <f t="shared" si="133"/>
        <v>0.99</v>
      </c>
      <c r="N129" s="122">
        <f t="shared" si="133"/>
        <v>0.99</v>
      </c>
      <c r="O129" s="122">
        <f t="shared" si="133"/>
        <v>0.99</v>
      </c>
      <c r="P129" s="122">
        <f t="shared" si="133"/>
        <v>0.99</v>
      </c>
      <c r="Q129" s="122">
        <f t="shared" si="133"/>
        <v>0.99</v>
      </c>
      <c r="R129" s="122">
        <f t="shared" si="133"/>
        <v>0.99</v>
      </c>
      <c r="S129" s="122">
        <f t="shared" si="133"/>
        <v>0.99</v>
      </c>
      <c r="T129" s="122">
        <f t="shared" si="133"/>
        <v>0.99</v>
      </c>
      <c r="U129" s="122">
        <f t="shared" si="133"/>
        <v>0.99</v>
      </c>
      <c r="V129" s="122">
        <f t="shared" si="133"/>
        <v>0.99</v>
      </c>
      <c r="W129" s="122">
        <f t="shared" si="133"/>
        <v>0.99</v>
      </c>
      <c r="X129" s="122">
        <f t="shared" si="133"/>
        <v>0.99</v>
      </c>
      <c r="Y129" s="122">
        <f t="shared" si="133"/>
        <v>0.99</v>
      </c>
      <c r="Z129" s="122">
        <f t="shared" si="133"/>
        <v>0.99</v>
      </c>
      <c r="AA129" s="122">
        <f t="shared" si="133"/>
        <v>0.99</v>
      </c>
      <c r="AB129" s="122">
        <f t="shared" si="133"/>
        <v>0.99</v>
      </c>
      <c r="AC129" s="122">
        <f t="shared" si="133"/>
        <v>0.99</v>
      </c>
      <c r="AD129" s="122">
        <f t="shared" si="133"/>
        <v>0.99</v>
      </c>
      <c r="AE129" s="122">
        <f t="shared" si="133"/>
        <v>0.99</v>
      </c>
      <c r="AF129" s="122">
        <f t="shared" si="133"/>
        <v>0.99</v>
      </c>
      <c r="AG129" s="122">
        <f t="shared" si="133"/>
        <v>0.99</v>
      </c>
      <c r="AH129" s="122">
        <f t="shared" si="133"/>
        <v>0.99</v>
      </c>
      <c r="AI129" s="122">
        <f t="shared" si="133"/>
        <v>0.99</v>
      </c>
      <c r="AJ129" s="122">
        <f t="shared" si="133"/>
        <v>0.99</v>
      </c>
      <c r="AK129" s="122">
        <f t="shared" si="133"/>
        <v>0.99</v>
      </c>
      <c r="AL129" s="122">
        <f t="shared" si="133"/>
        <v>0.99</v>
      </c>
      <c r="AM129" s="122">
        <f t="shared" si="133"/>
        <v>0.99</v>
      </c>
      <c r="AN129" s="122">
        <f t="shared" si="133"/>
        <v>0.99</v>
      </c>
      <c r="AO129" s="122">
        <f t="shared" si="133"/>
        <v>0.99</v>
      </c>
      <c r="AP129" s="122">
        <f t="shared" si="133"/>
        <v>0.99</v>
      </c>
      <c r="AQ129" s="122">
        <f t="shared" si="133"/>
        <v>0.99</v>
      </c>
      <c r="AR129" s="122">
        <f t="shared" si="133"/>
        <v>0.99</v>
      </c>
      <c r="AS129" s="122">
        <f t="shared" si="133"/>
        <v>0.99</v>
      </c>
      <c r="AT129" s="122">
        <f t="shared" si="133"/>
        <v>0.99</v>
      </c>
      <c r="AU129" s="122">
        <f t="shared" si="133"/>
        <v>0.99</v>
      </c>
      <c r="AV129" s="122">
        <f t="shared" si="133"/>
        <v>0.99</v>
      </c>
    </row>
    <row r="130" spans="1:48">
      <c r="A130" s="4" t="s">
        <v>17</v>
      </c>
      <c r="B130" s="176" t="str">
        <f t="shared" si="131"/>
        <v>CNL</v>
      </c>
      <c r="C130" s="176" t="str">
        <f t="shared" si="131"/>
        <v>Commercial - Lighting</v>
      </c>
      <c r="E130" s="170">
        <f t="shared" si="132"/>
        <v>0.01</v>
      </c>
      <c r="I130" s="181"/>
      <c r="J130" s="185">
        <f t="shared" si="133"/>
        <v>0.99</v>
      </c>
      <c r="K130" s="122">
        <f t="shared" si="133"/>
        <v>0.99</v>
      </c>
      <c r="L130" s="122">
        <f t="shared" si="133"/>
        <v>0.99</v>
      </c>
      <c r="M130" s="122">
        <f t="shared" si="133"/>
        <v>0.99</v>
      </c>
      <c r="N130" s="122">
        <f t="shared" si="133"/>
        <v>0.99</v>
      </c>
      <c r="O130" s="122">
        <f t="shared" si="133"/>
        <v>0.99</v>
      </c>
      <c r="P130" s="122">
        <f t="shared" si="133"/>
        <v>0.99</v>
      </c>
      <c r="Q130" s="122">
        <f t="shared" si="133"/>
        <v>0.99</v>
      </c>
      <c r="R130" s="122">
        <f t="shared" si="133"/>
        <v>0.99</v>
      </c>
      <c r="S130" s="122">
        <f t="shared" si="133"/>
        <v>0.99</v>
      </c>
      <c r="T130" s="122">
        <f t="shared" si="133"/>
        <v>0.99</v>
      </c>
      <c r="U130" s="122">
        <f t="shared" si="133"/>
        <v>0.99</v>
      </c>
      <c r="V130" s="122">
        <f t="shared" si="133"/>
        <v>0.99</v>
      </c>
      <c r="W130" s="122">
        <f t="shared" si="133"/>
        <v>0.99</v>
      </c>
      <c r="X130" s="122">
        <f t="shared" si="133"/>
        <v>0.99</v>
      </c>
      <c r="Y130" s="122">
        <f t="shared" si="133"/>
        <v>0.99</v>
      </c>
      <c r="Z130" s="122">
        <f t="shared" si="133"/>
        <v>0.99</v>
      </c>
      <c r="AA130" s="122">
        <f t="shared" si="133"/>
        <v>0.99</v>
      </c>
      <c r="AB130" s="122">
        <f t="shared" si="133"/>
        <v>0.99</v>
      </c>
      <c r="AC130" s="122">
        <f t="shared" si="133"/>
        <v>0.99</v>
      </c>
      <c r="AD130" s="122">
        <f t="shared" si="133"/>
        <v>0.99</v>
      </c>
      <c r="AE130" s="122">
        <f t="shared" si="133"/>
        <v>0.99</v>
      </c>
      <c r="AF130" s="122">
        <f t="shared" si="133"/>
        <v>0.99</v>
      </c>
      <c r="AG130" s="122">
        <f t="shared" si="133"/>
        <v>0.99</v>
      </c>
      <c r="AH130" s="122">
        <f t="shared" si="133"/>
        <v>0.99</v>
      </c>
      <c r="AI130" s="122">
        <f t="shared" si="133"/>
        <v>0.99</v>
      </c>
      <c r="AJ130" s="122">
        <f t="shared" si="133"/>
        <v>0.99</v>
      </c>
      <c r="AK130" s="122">
        <f t="shared" si="133"/>
        <v>0.99</v>
      </c>
      <c r="AL130" s="122">
        <f t="shared" si="133"/>
        <v>0.99</v>
      </c>
      <c r="AM130" s="122">
        <f t="shared" si="133"/>
        <v>0.99</v>
      </c>
      <c r="AN130" s="122">
        <f t="shared" si="133"/>
        <v>0.99</v>
      </c>
      <c r="AO130" s="122">
        <f t="shared" si="133"/>
        <v>0.99</v>
      </c>
      <c r="AP130" s="122">
        <f t="shared" si="133"/>
        <v>0.99</v>
      </c>
      <c r="AQ130" s="122">
        <f t="shared" si="133"/>
        <v>0.99</v>
      </c>
      <c r="AR130" s="122">
        <f t="shared" si="133"/>
        <v>0.99</v>
      </c>
      <c r="AS130" s="122">
        <f t="shared" si="133"/>
        <v>0.99</v>
      </c>
      <c r="AT130" s="122">
        <f t="shared" si="133"/>
        <v>0.99</v>
      </c>
      <c r="AU130" s="122">
        <f t="shared" si="133"/>
        <v>0.99</v>
      </c>
      <c r="AV130" s="122">
        <f t="shared" si="133"/>
        <v>0.99</v>
      </c>
    </row>
    <row r="131" spans="1:48">
      <c r="A131" s="4" t="s">
        <v>17</v>
      </c>
      <c r="B131" s="176" t="str">
        <f t="shared" si="131"/>
        <v>CNR</v>
      </c>
      <c r="C131" s="176" t="str">
        <f t="shared" si="131"/>
        <v>Commercial - Refrigeration</v>
      </c>
      <c r="E131" s="170">
        <f t="shared" si="132"/>
        <v>0.01</v>
      </c>
      <c r="H131" s="176"/>
      <c r="I131" s="181"/>
      <c r="J131" s="185">
        <f t="shared" si="133"/>
        <v>0.99</v>
      </c>
      <c r="K131" s="122">
        <f t="shared" si="133"/>
        <v>0.99</v>
      </c>
      <c r="L131" s="122">
        <f t="shared" si="133"/>
        <v>0.99</v>
      </c>
      <c r="M131" s="122">
        <f t="shared" si="133"/>
        <v>0.99</v>
      </c>
      <c r="N131" s="122">
        <f>N120*(1-$E131)</f>
        <v>0.99</v>
      </c>
      <c r="O131" s="122">
        <f t="shared" si="133"/>
        <v>0.99</v>
      </c>
      <c r="P131" s="122">
        <f t="shared" si="133"/>
        <v>0.99</v>
      </c>
      <c r="Q131" s="122">
        <f t="shared" si="133"/>
        <v>0.99</v>
      </c>
      <c r="R131" s="122">
        <f t="shared" si="133"/>
        <v>0.99</v>
      </c>
      <c r="S131" s="122">
        <f t="shared" si="133"/>
        <v>0.99</v>
      </c>
      <c r="T131" s="122">
        <f t="shared" si="133"/>
        <v>0.99</v>
      </c>
      <c r="U131" s="122">
        <f t="shared" si="133"/>
        <v>0.99</v>
      </c>
      <c r="V131" s="122">
        <f t="shared" si="133"/>
        <v>0.99</v>
      </c>
      <c r="W131" s="122">
        <f t="shared" si="133"/>
        <v>0.99</v>
      </c>
      <c r="X131" s="122">
        <f t="shared" si="133"/>
        <v>0.99</v>
      </c>
      <c r="Y131" s="122">
        <f t="shared" si="133"/>
        <v>0.99</v>
      </c>
      <c r="Z131" s="122">
        <f t="shared" si="133"/>
        <v>0.99</v>
      </c>
      <c r="AA131" s="122">
        <f t="shared" si="133"/>
        <v>0.99</v>
      </c>
      <c r="AB131" s="122">
        <f t="shared" si="133"/>
        <v>0.99</v>
      </c>
      <c r="AC131" s="122">
        <f t="shared" si="133"/>
        <v>0.99</v>
      </c>
      <c r="AD131" s="122">
        <f t="shared" si="133"/>
        <v>0.99</v>
      </c>
      <c r="AE131" s="122">
        <f t="shared" si="133"/>
        <v>0.99</v>
      </c>
      <c r="AF131" s="122">
        <f t="shared" si="133"/>
        <v>0.99</v>
      </c>
      <c r="AG131" s="122">
        <f t="shared" si="133"/>
        <v>0.99</v>
      </c>
      <c r="AH131" s="122">
        <f t="shared" si="133"/>
        <v>0.99</v>
      </c>
      <c r="AI131" s="122">
        <f t="shared" si="133"/>
        <v>0.99</v>
      </c>
      <c r="AJ131" s="122">
        <f t="shared" si="133"/>
        <v>0.99</v>
      </c>
      <c r="AK131" s="122">
        <f t="shared" si="133"/>
        <v>0.99</v>
      </c>
      <c r="AL131" s="122">
        <f t="shared" si="133"/>
        <v>0.99</v>
      </c>
      <c r="AM131" s="122">
        <f t="shared" si="133"/>
        <v>0.99</v>
      </c>
      <c r="AN131" s="122">
        <f t="shared" si="133"/>
        <v>0.99</v>
      </c>
      <c r="AO131" s="122">
        <f t="shared" si="133"/>
        <v>0.99</v>
      </c>
      <c r="AP131" s="122">
        <f t="shared" si="133"/>
        <v>0.99</v>
      </c>
      <c r="AQ131" s="122">
        <f t="shared" si="133"/>
        <v>0.99</v>
      </c>
      <c r="AR131" s="122">
        <f t="shared" si="133"/>
        <v>0.99</v>
      </c>
      <c r="AS131" s="122">
        <f t="shared" si="133"/>
        <v>0.99</v>
      </c>
      <c r="AT131" s="122">
        <f t="shared" si="133"/>
        <v>0.99</v>
      </c>
      <c r="AU131" s="122">
        <f t="shared" si="133"/>
        <v>0.99</v>
      </c>
      <c r="AV131" s="122">
        <f t="shared" si="133"/>
        <v>0.99</v>
      </c>
    </row>
    <row r="132" spans="1:48">
      <c r="A132" s="4" t="s">
        <v>17</v>
      </c>
      <c r="B132" s="176" t="str">
        <f t="shared" si="131"/>
        <v>CNW</v>
      </c>
      <c r="C132" s="176" t="str">
        <f t="shared" si="131"/>
        <v>Commercial - Water Heating</v>
      </c>
      <c r="E132" s="170">
        <f t="shared" si="132"/>
        <v>0.01</v>
      </c>
      <c r="I132" s="181"/>
      <c r="J132" s="185">
        <f t="shared" si="133"/>
        <v>0.99</v>
      </c>
      <c r="K132" s="122">
        <f t="shared" si="133"/>
        <v>0.99</v>
      </c>
      <c r="L132" s="122">
        <f t="shared" si="133"/>
        <v>0.99</v>
      </c>
      <c r="M132" s="122">
        <f t="shared" si="133"/>
        <v>0.99</v>
      </c>
      <c r="N132" s="122">
        <f t="shared" si="133"/>
        <v>0.99</v>
      </c>
      <c r="O132" s="122">
        <f t="shared" si="133"/>
        <v>0.99</v>
      </c>
      <c r="P132" s="122">
        <f t="shared" si="133"/>
        <v>0.99</v>
      </c>
      <c r="Q132" s="122">
        <f t="shared" si="133"/>
        <v>0.99</v>
      </c>
      <c r="R132" s="122">
        <f t="shared" si="133"/>
        <v>0.99</v>
      </c>
      <c r="S132" s="122">
        <f t="shared" si="133"/>
        <v>0.99</v>
      </c>
      <c r="T132" s="122">
        <f t="shared" si="133"/>
        <v>0.99</v>
      </c>
      <c r="U132" s="122">
        <f t="shared" si="133"/>
        <v>0.99</v>
      </c>
      <c r="V132" s="122">
        <f t="shared" si="133"/>
        <v>0.99</v>
      </c>
      <c r="W132" s="122">
        <f t="shared" si="133"/>
        <v>0.99</v>
      </c>
      <c r="X132" s="122">
        <f t="shared" si="133"/>
        <v>0.99</v>
      </c>
      <c r="Y132" s="122">
        <f t="shared" si="133"/>
        <v>0.99</v>
      </c>
      <c r="Z132" s="122">
        <f t="shared" si="133"/>
        <v>0.99</v>
      </c>
      <c r="AA132" s="122">
        <f t="shared" si="133"/>
        <v>0.99</v>
      </c>
      <c r="AB132" s="122">
        <f t="shared" si="133"/>
        <v>0.99</v>
      </c>
      <c r="AC132" s="122">
        <f t="shared" si="133"/>
        <v>0.99</v>
      </c>
      <c r="AD132" s="122">
        <f t="shared" si="133"/>
        <v>0.99</v>
      </c>
      <c r="AE132" s="122">
        <f t="shared" si="133"/>
        <v>0.99</v>
      </c>
      <c r="AF132" s="122">
        <f t="shared" si="133"/>
        <v>0.99</v>
      </c>
      <c r="AG132" s="122">
        <f t="shared" si="133"/>
        <v>0.99</v>
      </c>
      <c r="AH132" s="122">
        <f t="shared" si="133"/>
        <v>0.99</v>
      </c>
      <c r="AI132" s="122">
        <f t="shared" si="133"/>
        <v>0.99</v>
      </c>
      <c r="AJ132" s="122">
        <f t="shared" si="133"/>
        <v>0.99</v>
      </c>
      <c r="AK132" s="122">
        <f t="shared" si="133"/>
        <v>0.99</v>
      </c>
      <c r="AL132" s="122">
        <f t="shared" si="133"/>
        <v>0.99</v>
      </c>
      <c r="AM132" s="122">
        <f t="shared" si="133"/>
        <v>0.99</v>
      </c>
      <c r="AN132" s="122">
        <f t="shared" si="133"/>
        <v>0.99</v>
      </c>
      <c r="AO132" s="122">
        <f t="shared" si="133"/>
        <v>0.99</v>
      </c>
      <c r="AP132" s="122">
        <f t="shared" si="133"/>
        <v>0.99</v>
      </c>
      <c r="AQ132" s="122">
        <f t="shared" si="133"/>
        <v>0.99</v>
      </c>
      <c r="AR132" s="122">
        <f t="shared" si="133"/>
        <v>0.99</v>
      </c>
      <c r="AS132" s="122">
        <f t="shared" si="133"/>
        <v>0.99</v>
      </c>
      <c r="AT132" s="122">
        <f t="shared" si="133"/>
        <v>0.99</v>
      </c>
      <c r="AU132" s="122">
        <f t="shared" si="133"/>
        <v>0.99</v>
      </c>
      <c r="AV132" s="122">
        <f t="shared" si="133"/>
        <v>0.99</v>
      </c>
    </row>
    <row r="133" spans="1:48">
      <c r="A133" s="4" t="s">
        <v>17</v>
      </c>
      <c r="B133" s="176" t="str">
        <f t="shared" si="131"/>
        <v>CNG</v>
      </c>
      <c r="C133" s="176" t="str">
        <f t="shared" si="131"/>
        <v>Commercial - Public lights</v>
      </c>
      <c r="E133" s="170">
        <f t="shared" si="132"/>
        <v>0.01</v>
      </c>
      <c r="I133" s="181"/>
      <c r="J133" s="185">
        <f t="shared" si="133"/>
        <v>0.99</v>
      </c>
      <c r="K133" s="122">
        <f t="shared" si="133"/>
        <v>0.99</v>
      </c>
      <c r="L133" s="122">
        <f t="shared" si="133"/>
        <v>0.99</v>
      </c>
      <c r="M133" s="122">
        <f t="shared" si="133"/>
        <v>0.99</v>
      </c>
      <c r="N133" s="122">
        <f t="shared" si="133"/>
        <v>0.99</v>
      </c>
      <c r="O133" s="122">
        <f t="shared" si="133"/>
        <v>0.99</v>
      </c>
      <c r="P133" s="122">
        <f t="shared" si="133"/>
        <v>0.99</v>
      </c>
      <c r="Q133" s="122">
        <f t="shared" si="133"/>
        <v>0.99</v>
      </c>
      <c r="R133" s="122">
        <f t="shared" si="133"/>
        <v>0.99</v>
      </c>
      <c r="S133" s="122">
        <f t="shared" si="133"/>
        <v>0.99</v>
      </c>
      <c r="T133" s="122">
        <f t="shared" si="133"/>
        <v>0.99</v>
      </c>
      <c r="U133" s="122">
        <f t="shared" si="133"/>
        <v>0.99</v>
      </c>
      <c r="V133" s="122">
        <f t="shared" si="133"/>
        <v>0.99</v>
      </c>
      <c r="W133" s="122">
        <f t="shared" si="133"/>
        <v>0.99</v>
      </c>
      <c r="X133" s="122">
        <f t="shared" si="133"/>
        <v>0.99</v>
      </c>
      <c r="Y133" s="122">
        <f t="shared" si="133"/>
        <v>0.99</v>
      </c>
      <c r="Z133" s="122">
        <f t="shared" si="133"/>
        <v>0.99</v>
      </c>
      <c r="AA133" s="122">
        <f t="shared" si="133"/>
        <v>0.99</v>
      </c>
      <c r="AB133" s="122">
        <f t="shared" si="133"/>
        <v>0.99</v>
      </c>
      <c r="AC133" s="122">
        <f t="shared" si="133"/>
        <v>0.99</v>
      </c>
      <c r="AD133" s="122">
        <f t="shared" si="133"/>
        <v>0.99</v>
      </c>
      <c r="AE133" s="122">
        <f t="shared" ref="AE133:AV135" si="134">AE122*(1-$E133)</f>
        <v>0.99</v>
      </c>
      <c r="AF133" s="122">
        <f t="shared" si="134"/>
        <v>0.99</v>
      </c>
      <c r="AG133" s="122">
        <f t="shared" si="134"/>
        <v>0.99</v>
      </c>
      <c r="AH133" s="122">
        <f t="shared" si="134"/>
        <v>0.99</v>
      </c>
      <c r="AI133" s="122">
        <f t="shared" si="134"/>
        <v>0.99</v>
      </c>
      <c r="AJ133" s="122">
        <f t="shared" si="134"/>
        <v>0.99</v>
      </c>
      <c r="AK133" s="122">
        <f t="shared" si="134"/>
        <v>0.99</v>
      </c>
      <c r="AL133" s="122">
        <f t="shared" si="134"/>
        <v>0.99</v>
      </c>
      <c r="AM133" s="122">
        <f t="shared" si="134"/>
        <v>0.99</v>
      </c>
      <c r="AN133" s="122">
        <f t="shared" si="134"/>
        <v>0.99</v>
      </c>
      <c r="AO133" s="122">
        <f t="shared" si="134"/>
        <v>0.99</v>
      </c>
      <c r="AP133" s="122">
        <f t="shared" si="134"/>
        <v>0.99</v>
      </c>
      <c r="AQ133" s="122">
        <f t="shared" si="134"/>
        <v>0.99</v>
      </c>
      <c r="AR133" s="122">
        <f t="shared" si="134"/>
        <v>0.99</v>
      </c>
      <c r="AS133" s="122">
        <f t="shared" si="134"/>
        <v>0.99</v>
      </c>
      <c r="AT133" s="122">
        <f t="shared" si="134"/>
        <v>0.99</v>
      </c>
      <c r="AU133" s="122">
        <f t="shared" si="134"/>
        <v>0.99</v>
      </c>
      <c r="AV133" s="122">
        <f t="shared" si="134"/>
        <v>0.99</v>
      </c>
    </row>
    <row r="134" spans="1:48">
      <c r="A134" s="4" t="s">
        <v>17</v>
      </c>
      <c r="B134" s="176" t="str">
        <f t="shared" si="131"/>
        <v>CNT</v>
      </c>
      <c r="C134" s="176" t="str">
        <f t="shared" si="131"/>
        <v>Commercial - Public Water</v>
      </c>
      <c r="E134" s="170">
        <f t="shared" si="132"/>
        <v>0.01</v>
      </c>
      <c r="I134" s="181"/>
      <c r="J134" s="185">
        <f t="shared" ref="J134:AV135" si="135">J123*(1-$E134)</f>
        <v>0.99</v>
      </c>
      <c r="K134" s="122">
        <f t="shared" si="135"/>
        <v>0.99</v>
      </c>
      <c r="L134" s="122">
        <f t="shared" si="135"/>
        <v>0.99</v>
      </c>
      <c r="M134" s="122">
        <f t="shared" si="135"/>
        <v>0.99</v>
      </c>
      <c r="N134" s="122">
        <f t="shared" si="135"/>
        <v>0.99</v>
      </c>
      <c r="O134" s="122">
        <f t="shared" si="135"/>
        <v>0.99</v>
      </c>
      <c r="P134" s="122">
        <f t="shared" si="135"/>
        <v>0.99</v>
      </c>
      <c r="Q134" s="122">
        <f t="shared" si="135"/>
        <v>0.99</v>
      </c>
      <c r="R134" s="122">
        <f t="shared" si="135"/>
        <v>0.99</v>
      </c>
      <c r="S134" s="122">
        <f t="shared" si="135"/>
        <v>0.99</v>
      </c>
      <c r="T134" s="122">
        <f t="shared" si="135"/>
        <v>0.99</v>
      </c>
      <c r="U134" s="122">
        <f t="shared" si="135"/>
        <v>0.99</v>
      </c>
      <c r="V134" s="122">
        <f t="shared" si="135"/>
        <v>0.99</v>
      </c>
      <c r="W134" s="122">
        <f t="shared" si="135"/>
        <v>0.99</v>
      </c>
      <c r="X134" s="122">
        <f t="shared" si="135"/>
        <v>0.99</v>
      </c>
      <c r="Y134" s="122">
        <f t="shared" si="135"/>
        <v>0.99</v>
      </c>
      <c r="Z134" s="122">
        <f t="shared" si="135"/>
        <v>0.99</v>
      </c>
      <c r="AA134" s="122">
        <f t="shared" si="135"/>
        <v>0.99</v>
      </c>
      <c r="AB134" s="122">
        <f t="shared" si="135"/>
        <v>0.99</v>
      </c>
      <c r="AC134" s="122">
        <f t="shared" si="135"/>
        <v>0.99</v>
      </c>
      <c r="AD134" s="122">
        <f t="shared" si="135"/>
        <v>0.99</v>
      </c>
      <c r="AE134" s="122">
        <f t="shared" si="135"/>
        <v>0.99</v>
      </c>
      <c r="AF134" s="122">
        <f t="shared" si="135"/>
        <v>0.99</v>
      </c>
      <c r="AG134" s="122">
        <f t="shared" si="135"/>
        <v>0.99</v>
      </c>
      <c r="AH134" s="122">
        <f t="shared" si="135"/>
        <v>0.99</v>
      </c>
      <c r="AI134" s="122">
        <f t="shared" si="134"/>
        <v>0.99</v>
      </c>
      <c r="AJ134" s="122">
        <f t="shared" si="134"/>
        <v>0.99</v>
      </c>
      <c r="AK134" s="122">
        <f t="shared" si="134"/>
        <v>0.99</v>
      </c>
      <c r="AL134" s="122">
        <f t="shared" si="134"/>
        <v>0.99</v>
      </c>
      <c r="AM134" s="122">
        <f t="shared" si="134"/>
        <v>0.99</v>
      </c>
      <c r="AN134" s="122">
        <f t="shared" si="134"/>
        <v>0.99</v>
      </c>
      <c r="AO134" s="122">
        <f t="shared" si="134"/>
        <v>0.99</v>
      </c>
      <c r="AP134" s="122">
        <f t="shared" si="134"/>
        <v>0.99</v>
      </c>
      <c r="AQ134" s="122">
        <f t="shared" si="134"/>
        <v>0.99</v>
      </c>
      <c r="AR134" s="122">
        <f t="shared" si="134"/>
        <v>0.99</v>
      </c>
      <c r="AS134" s="122">
        <f t="shared" si="135"/>
        <v>0.99</v>
      </c>
      <c r="AT134" s="122">
        <f t="shared" si="135"/>
        <v>0.99</v>
      </c>
      <c r="AU134" s="122">
        <f t="shared" si="135"/>
        <v>0.99</v>
      </c>
      <c r="AV134" s="122">
        <f t="shared" si="135"/>
        <v>0.99</v>
      </c>
    </row>
    <row r="135" spans="1:48">
      <c r="A135" s="4" t="s">
        <v>17</v>
      </c>
      <c r="B135" s="176" t="str">
        <f t="shared" si="131"/>
        <v>CNO</v>
      </c>
      <c r="C135" s="176" t="str">
        <f t="shared" si="131"/>
        <v>Commercial - Other</v>
      </c>
      <c r="E135" s="170">
        <f t="shared" si="132"/>
        <v>0.01</v>
      </c>
      <c r="I135" s="181"/>
      <c r="J135" s="185">
        <f t="shared" si="135"/>
        <v>0.99</v>
      </c>
      <c r="K135" s="122">
        <f t="shared" si="135"/>
        <v>0.99</v>
      </c>
      <c r="L135" s="122">
        <f t="shared" si="135"/>
        <v>0.99</v>
      </c>
      <c r="M135" s="122">
        <f t="shared" si="135"/>
        <v>0.99</v>
      </c>
      <c r="N135" s="122">
        <f t="shared" si="135"/>
        <v>0.99</v>
      </c>
      <c r="O135" s="122">
        <f t="shared" si="135"/>
        <v>0.99</v>
      </c>
      <c r="P135" s="122">
        <f t="shared" si="135"/>
        <v>0.99</v>
      </c>
      <c r="Q135" s="122">
        <f t="shared" si="135"/>
        <v>0.99</v>
      </c>
      <c r="R135" s="122">
        <f t="shared" si="135"/>
        <v>0.99</v>
      </c>
      <c r="S135" s="122">
        <f t="shared" si="135"/>
        <v>0.99</v>
      </c>
      <c r="T135" s="122">
        <f t="shared" si="135"/>
        <v>0.99</v>
      </c>
      <c r="U135" s="122">
        <f t="shared" si="135"/>
        <v>0.99</v>
      </c>
      <c r="V135" s="122">
        <f t="shared" si="135"/>
        <v>0.99</v>
      </c>
      <c r="W135" s="122">
        <f t="shared" si="135"/>
        <v>0.99</v>
      </c>
      <c r="X135" s="122">
        <f t="shared" si="135"/>
        <v>0.99</v>
      </c>
      <c r="Y135" s="122">
        <f t="shared" si="135"/>
        <v>0.99</v>
      </c>
      <c r="Z135" s="122">
        <f t="shared" si="135"/>
        <v>0.99</v>
      </c>
      <c r="AA135" s="122">
        <f t="shared" si="135"/>
        <v>0.99</v>
      </c>
      <c r="AB135" s="122">
        <f t="shared" si="135"/>
        <v>0.99</v>
      </c>
      <c r="AC135" s="122">
        <f t="shared" si="135"/>
        <v>0.99</v>
      </c>
      <c r="AD135" s="122">
        <f t="shared" si="135"/>
        <v>0.99</v>
      </c>
      <c r="AE135" s="122">
        <f t="shared" si="135"/>
        <v>0.99</v>
      </c>
      <c r="AF135" s="122">
        <f t="shared" si="135"/>
        <v>0.99</v>
      </c>
      <c r="AG135" s="122">
        <f t="shared" si="135"/>
        <v>0.99</v>
      </c>
      <c r="AH135" s="122">
        <f t="shared" si="135"/>
        <v>0.99</v>
      </c>
      <c r="AI135" s="122">
        <f t="shared" si="134"/>
        <v>0.99</v>
      </c>
      <c r="AJ135" s="122">
        <f t="shared" si="134"/>
        <v>0.99</v>
      </c>
      <c r="AK135" s="122">
        <f t="shared" si="134"/>
        <v>0.99</v>
      </c>
      <c r="AL135" s="122">
        <f t="shared" si="134"/>
        <v>0.99</v>
      </c>
      <c r="AM135" s="122">
        <f t="shared" si="134"/>
        <v>0.99</v>
      </c>
      <c r="AN135" s="122">
        <f t="shared" si="134"/>
        <v>0.99</v>
      </c>
      <c r="AO135" s="122">
        <f t="shared" si="134"/>
        <v>0.99</v>
      </c>
      <c r="AP135" s="122">
        <f t="shared" si="134"/>
        <v>0.99</v>
      </c>
      <c r="AQ135" s="122">
        <f t="shared" si="134"/>
        <v>0.99</v>
      </c>
      <c r="AR135" s="122">
        <f t="shared" si="134"/>
        <v>0.99</v>
      </c>
      <c r="AS135" s="122">
        <f t="shared" si="135"/>
        <v>0.99</v>
      </c>
      <c r="AT135" s="122">
        <f t="shared" si="135"/>
        <v>0.99</v>
      </c>
      <c r="AU135" s="122">
        <f t="shared" si="135"/>
        <v>0.99</v>
      </c>
      <c r="AV135" s="122">
        <f t="shared" si="135"/>
        <v>0.99</v>
      </c>
    </row>
    <row r="136" spans="1:48">
      <c r="A136" s="4" t="s">
        <v>17</v>
      </c>
      <c r="B136" s="176"/>
      <c r="C136" s="176"/>
      <c r="I136" s="181"/>
      <c r="K136" s="96"/>
    </row>
    <row r="137" spans="1:48" ht="15" thickBot="1">
      <c r="A137" s="4" t="s">
        <v>17</v>
      </c>
      <c r="B137" s="176"/>
      <c r="C137" s="93" t="s">
        <v>261</v>
      </c>
      <c r="I137" s="181"/>
      <c r="K137" s="96"/>
    </row>
    <row r="138" spans="1:48">
      <c r="A138" s="4" t="s">
        <v>17</v>
      </c>
      <c r="B138" s="176" t="str">
        <f t="shared" ref="B138:C146" si="136">B127</f>
        <v>CNC</v>
      </c>
      <c r="C138" s="176" t="str">
        <f t="shared" si="136"/>
        <v>Commercial - Cooling</v>
      </c>
      <c r="E138" s="170">
        <f t="shared" ref="E138:E146" si="137">E127+$AX$106</f>
        <v>0.02</v>
      </c>
      <c r="I138" s="181"/>
      <c r="J138" s="185">
        <f t="shared" ref="J138:AV144" si="138">J127*(1-$E138)</f>
        <v>0.97019999999999995</v>
      </c>
      <c r="K138" s="122">
        <f t="shared" si="138"/>
        <v>0.97019999999999995</v>
      </c>
      <c r="L138" s="122">
        <f t="shared" si="138"/>
        <v>0.97019999999999995</v>
      </c>
      <c r="M138" s="122">
        <f t="shared" si="138"/>
        <v>0.97019999999999995</v>
      </c>
      <c r="N138" s="122">
        <f t="shared" si="138"/>
        <v>0.97019999999999995</v>
      </c>
      <c r="O138" s="122">
        <f t="shared" si="138"/>
        <v>0.97019999999999995</v>
      </c>
      <c r="P138" s="122">
        <f t="shared" si="138"/>
        <v>0.97019999999999995</v>
      </c>
      <c r="Q138" s="122">
        <f t="shared" si="138"/>
        <v>0.97019999999999995</v>
      </c>
      <c r="R138" s="122">
        <f t="shared" si="138"/>
        <v>0.97019999999999995</v>
      </c>
      <c r="S138" s="122">
        <f t="shared" si="138"/>
        <v>0.97019999999999995</v>
      </c>
      <c r="T138" s="122">
        <f t="shared" si="138"/>
        <v>0.97019999999999995</v>
      </c>
      <c r="U138" s="122">
        <f t="shared" si="138"/>
        <v>0.97019999999999995</v>
      </c>
      <c r="V138" s="122">
        <f t="shared" si="138"/>
        <v>0.97019999999999995</v>
      </c>
      <c r="W138" s="122">
        <f t="shared" si="138"/>
        <v>0.97019999999999995</v>
      </c>
      <c r="X138" s="122">
        <f t="shared" si="138"/>
        <v>0.97019999999999995</v>
      </c>
      <c r="Y138" s="122">
        <f t="shared" si="138"/>
        <v>0.97019999999999995</v>
      </c>
      <c r="Z138" s="122">
        <f t="shared" si="138"/>
        <v>0.97019999999999995</v>
      </c>
      <c r="AA138" s="122">
        <f t="shared" si="138"/>
        <v>0.97019999999999995</v>
      </c>
      <c r="AB138" s="122">
        <f t="shared" si="138"/>
        <v>0.97019999999999995</v>
      </c>
      <c r="AC138" s="122">
        <f t="shared" si="138"/>
        <v>0.97019999999999995</v>
      </c>
      <c r="AD138" s="122">
        <f t="shared" si="138"/>
        <v>0.97019999999999995</v>
      </c>
      <c r="AE138" s="122">
        <f t="shared" si="138"/>
        <v>0.97019999999999995</v>
      </c>
      <c r="AF138" s="122">
        <f t="shared" si="138"/>
        <v>0.97019999999999995</v>
      </c>
      <c r="AG138" s="122">
        <f t="shared" si="138"/>
        <v>0.97019999999999995</v>
      </c>
      <c r="AH138" s="122">
        <f t="shared" si="138"/>
        <v>0.97019999999999995</v>
      </c>
      <c r="AI138" s="122">
        <f t="shared" si="138"/>
        <v>0.97019999999999995</v>
      </c>
      <c r="AJ138" s="122">
        <f t="shared" si="138"/>
        <v>0.97019999999999995</v>
      </c>
      <c r="AK138" s="122">
        <f t="shared" si="138"/>
        <v>0.97019999999999995</v>
      </c>
      <c r="AL138" s="122">
        <f t="shared" si="138"/>
        <v>0.97019999999999995</v>
      </c>
      <c r="AM138" s="122">
        <f t="shared" si="138"/>
        <v>0.97019999999999995</v>
      </c>
      <c r="AN138" s="122">
        <f t="shared" si="138"/>
        <v>0.97019999999999995</v>
      </c>
      <c r="AO138" s="122">
        <f t="shared" si="138"/>
        <v>0.97019999999999995</v>
      </c>
      <c r="AP138" s="122">
        <f t="shared" si="138"/>
        <v>0.97019999999999995</v>
      </c>
      <c r="AQ138" s="122">
        <f t="shared" si="138"/>
        <v>0.97019999999999995</v>
      </c>
      <c r="AR138" s="122">
        <f t="shared" si="138"/>
        <v>0.97019999999999995</v>
      </c>
      <c r="AS138" s="122">
        <f t="shared" si="138"/>
        <v>0.97019999999999995</v>
      </c>
      <c r="AT138" s="122">
        <f t="shared" si="138"/>
        <v>0.97019999999999995</v>
      </c>
      <c r="AU138" s="122">
        <f t="shared" si="138"/>
        <v>0.97019999999999995</v>
      </c>
      <c r="AV138" s="122">
        <f t="shared" si="138"/>
        <v>0.97019999999999995</v>
      </c>
    </row>
    <row r="139" spans="1:48">
      <c r="A139" s="4" t="s">
        <v>17</v>
      </c>
      <c r="B139" s="176" t="str">
        <f t="shared" si="136"/>
        <v>CNH</v>
      </c>
      <c r="C139" s="176" t="str">
        <f t="shared" si="136"/>
        <v>Commercial - Space Heating</v>
      </c>
      <c r="E139" s="170">
        <f t="shared" si="137"/>
        <v>0.02</v>
      </c>
      <c r="I139" s="181"/>
      <c r="J139" s="185">
        <f t="shared" si="138"/>
        <v>0.97019999999999995</v>
      </c>
      <c r="K139" s="122">
        <f t="shared" si="138"/>
        <v>0.97019999999999995</v>
      </c>
      <c r="L139" s="122">
        <f t="shared" si="138"/>
        <v>0.97019999999999995</v>
      </c>
      <c r="M139" s="122">
        <f t="shared" si="138"/>
        <v>0.97019999999999995</v>
      </c>
      <c r="N139" s="122">
        <f t="shared" si="138"/>
        <v>0.97019999999999995</v>
      </c>
      <c r="O139" s="122">
        <f t="shared" si="138"/>
        <v>0.97019999999999995</v>
      </c>
      <c r="P139" s="122">
        <f t="shared" si="138"/>
        <v>0.97019999999999995</v>
      </c>
      <c r="Q139" s="122">
        <f t="shared" si="138"/>
        <v>0.97019999999999995</v>
      </c>
      <c r="R139" s="122">
        <f t="shared" si="138"/>
        <v>0.97019999999999995</v>
      </c>
      <c r="S139" s="122">
        <f t="shared" si="138"/>
        <v>0.97019999999999995</v>
      </c>
      <c r="T139" s="122">
        <f t="shared" si="138"/>
        <v>0.97019999999999995</v>
      </c>
      <c r="U139" s="122">
        <f t="shared" si="138"/>
        <v>0.97019999999999995</v>
      </c>
      <c r="V139" s="122">
        <f t="shared" si="138"/>
        <v>0.97019999999999995</v>
      </c>
      <c r="W139" s="122">
        <f t="shared" si="138"/>
        <v>0.97019999999999995</v>
      </c>
      <c r="X139" s="122">
        <f t="shared" si="138"/>
        <v>0.97019999999999995</v>
      </c>
      <c r="Y139" s="122">
        <f t="shared" si="138"/>
        <v>0.97019999999999995</v>
      </c>
      <c r="Z139" s="122">
        <f t="shared" si="138"/>
        <v>0.97019999999999995</v>
      </c>
      <c r="AA139" s="122">
        <f t="shared" si="138"/>
        <v>0.97019999999999995</v>
      </c>
      <c r="AB139" s="122">
        <f t="shared" si="138"/>
        <v>0.97019999999999995</v>
      </c>
      <c r="AC139" s="122">
        <f t="shared" si="138"/>
        <v>0.97019999999999995</v>
      </c>
      <c r="AD139" s="122">
        <f t="shared" si="138"/>
        <v>0.97019999999999995</v>
      </c>
      <c r="AE139" s="122">
        <f t="shared" si="138"/>
        <v>0.97019999999999995</v>
      </c>
      <c r="AF139" s="122">
        <f t="shared" si="138"/>
        <v>0.97019999999999995</v>
      </c>
      <c r="AG139" s="122">
        <f t="shared" si="138"/>
        <v>0.97019999999999995</v>
      </c>
      <c r="AH139" s="122">
        <f t="shared" si="138"/>
        <v>0.97019999999999995</v>
      </c>
      <c r="AI139" s="122">
        <f t="shared" si="138"/>
        <v>0.97019999999999995</v>
      </c>
      <c r="AJ139" s="122">
        <f t="shared" si="138"/>
        <v>0.97019999999999995</v>
      </c>
      <c r="AK139" s="122">
        <f t="shared" si="138"/>
        <v>0.97019999999999995</v>
      </c>
      <c r="AL139" s="122">
        <f t="shared" si="138"/>
        <v>0.97019999999999995</v>
      </c>
      <c r="AM139" s="122">
        <f t="shared" si="138"/>
        <v>0.97019999999999995</v>
      </c>
      <c r="AN139" s="122">
        <f t="shared" si="138"/>
        <v>0.97019999999999995</v>
      </c>
      <c r="AO139" s="122">
        <f t="shared" si="138"/>
        <v>0.97019999999999995</v>
      </c>
      <c r="AP139" s="122">
        <f t="shared" si="138"/>
        <v>0.97019999999999995</v>
      </c>
      <c r="AQ139" s="122">
        <f t="shared" si="138"/>
        <v>0.97019999999999995</v>
      </c>
      <c r="AR139" s="122">
        <f t="shared" si="138"/>
        <v>0.97019999999999995</v>
      </c>
      <c r="AS139" s="122">
        <f t="shared" si="138"/>
        <v>0.97019999999999995</v>
      </c>
      <c r="AT139" s="122">
        <f t="shared" si="138"/>
        <v>0.97019999999999995</v>
      </c>
      <c r="AU139" s="122">
        <f t="shared" si="138"/>
        <v>0.97019999999999995</v>
      </c>
      <c r="AV139" s="122">
        <f t="shared" si="138"/>
        <v>0.97019999999999995</v>
      </c>
    </row>
    <row r="140" spans="1:48">
      <c r="A140" s="4" t="s">
        <v>17</v>
      </c>
      <c r="B140" s="176" t="str">
        <f t="shared" si="136"/>
        <v>CNK</v>
      </c>
      <c r="C140" s="176" t="str">
        <f t="shared" si="136"/>
        <v>Commercial - Cooking</v>
      </c>
      <c r="E140" s="170">
        <f t="shared" si="137"/>
        <v>0.02</v>
      </c>
      <c r="I140" s="181"/>
      <c r="J140" s="185">
        <f t="shared" si="138"/>
        <v>0.97019999999999995</v>
      </c>
      <c r="K140" s="122">
        <f t="shared" si="138"/>
        <v>0.97019999999999995</v>
      </c>
      <c r="L140" s="122">
        <f t="shared" si="138"/>
        <v>0.97019999999999995</v>
      </c>
      <c r="M140" s="122">
        <f t="shared" si="138"/>
        <v>0.97019999999999995</v>
      </c>
      <c r="N140" s="122">
        <f t="shared" si="138"/>
        <v>0.97019999999999995</v>
      </c>
      <c r="O140" s="122">
        <f t="shared" si="138"/>
        <v>0.97019999999999995</v>
      </c>
      <c r="P140" s="122">
        <f t="shared" si="138"/>
        <v>0.97019999999999995</v>
      </c>
      <c r="Q140" s="122">
        <f t="shared" si="138"/>
        <v>0.97019999999999995</v>
      </c>
      <c r="R140" s="122">
        <f t="shared" si="138"/>
        <v>0.97019999999999995</v>
      </c>
      <c r="S140" s="122">
        <f t="shared" si="138"/>
        <v>0.97019999999999995</v>
      </c>
      <c r="T140" s="122">
        <f t="shared" si="138"/>
        <v>0.97019999999999995</v>
      </c>
      <c r="U140" s="122">
        <f t="shared" si="138"/>
        <v>0.97019999999999995</v>
      </c>
      <c r="V140" s="122">
        <f t="shared" si="138"/>
        <v>0.97019999999999995</v>
      </c>
      <c r="W140" s="122">
        <f t="shared" si="138"/>
        <v>0.97019999999999995</v>
      </c>
      <c r="X140" s="122">
        <f t="shared" si="138"/>
        <v>0.97019999999999995</v>
      </c>
      <c r="Y140" s="122">
        <f t="shared" si="138"/>
        <v>0.97019999999999995</v>
      </c>
      <c r="Z140" s="122">
        <f t="shared" si="138"/>
        <v>0.97019999999999995</v>
      </c>
      <c r="AA140" s="122">
        <f t="shared" si="138"/>
        <v>0.97019999999999995</v>
      </c>
      <c r="AB140" s="122">
        <f t="shared" si="138"/>
        <v>0.97019999999999995</v>
      </c>
      <c r="AC140" s="122">
        <f t="shared" si="138"/>
        <v>0.97019999999999995</v>
      </c>
      <c r="AD140" s="122">
        <f t="shared" si="138"/>
        <v>0.97019999999999995</v>
      </c>
      <c r="AE140" s="122">
        <f t="shared" si="138"/>
        <v>0.97019999999999995</v>
      </c>
      <c r="AF140" s="122">
        <f t="shared" si="138"/>
        <v>0.97019999999999995</v>
      </c>
      <c r="AG140" s="122">
        <f t="shared" si="138"/>
        <v>0.97019999999999995</v>
      </c>
      <c r="AH140" s="122">
        <f t="shared" si="138"/>
        <v>0.97019999999999995</v>
      </c>
      <c r="AI140" s="122">
        <f t="shared" si="138"/>
        <v>0.97019999999999995</v>
      </c>
      <c r="AJ140" s="122">
        <f t="shared" si="138"/>
        <v>0.97019999999999995</v>
      </c>
      <c r="AK140" s="122">
        <f t="shared" si="138"/>
        <v>0.97019999999999995</v>
      </c>
      <c r="AL140" s="122">
        <f t="shared" si="138"/>
        <v>0.97019999999999995</v>
      </c>
      <c r="AM140" s="122">
        <f t="shared" si="138"/>
        <v>0.97019999999999995</v>
      </c>
      <c r="AN140" s="122">
        <f t="shared" si="138"/>
        <v>0.97019999999999995</v>
      </c>
      <c r="AO140" s="122">
        <f t="shared" si="138"/>
        <v>0.97019999999999995</v>
      </c>
      <c r="AP140" s="122">
        <f t="shared" si="138"/>
        <v>0.97019999999999995</v>
      </c>
      <c r="AQ140" s="122">
        <f t="shared" si="138"/>
        <v>0.97019999999999995</v>
      </c>
      <c r="AR140" s="122">
        <f t="shared" si="138"/>
        <v>0.97019999999999995</v>
      </c>
      <c r="AS140" s="122">
        <f t="shared" si="138"/>
        <v>0.97019999999999995</v>
      </c>
      <c r="AT140" s="122">
        <f t="shared" si="138"/>
        <v>0.97019999999999995</v>
      </c>
      <c r="AU140" s="122">
        <f t="shared" si="138"/>
        <v>0.97019999999999995</v>
      </c>
      <c r="AV140" s="122">
        <f t="shared" si="138"/>
        <v>0.97019999999999995</v>
      </c>
    </row>
    <row r="141" spans="1:48">
      <c r="A141" s="4" t="s">
        <v>17</v>
      </c>
      <c r="B141" s="176" t="str">
        <f t="shared" si="136"/>
        <v>CNL</v>
      </c>
      <c r="C141" s="176" t="str">
        <f t="shared" si="136"/>
        <v>Commercial - Lighting</v>
      </c>
      <c r="E141" s="170">
        <f t="shared" si="137"/>
        <v>0.02</v>
      </c>
      <c r="I141" s="181"/>
      <c r="J141" s="185">
        <f t="shared" si="138"/>
        <v>0.97019999999999995</v>
      </c>
      <c r="K141" s="122">
        <f t="shared" si="138"/>
        <v>0.97019999999999995</v>
      </c>
      <c r="L141" s="122">
        <f t="shared" si="138"/>
        <v>0.97019999999999995</v>
      </c>
      <c r="M141" s="122">
        <f t="shared" si="138"/>
        <v>0.97019999999999995</v>
      </c>
      <c r="N141" s="122">
        <f t="shared" si="138"/>
        <v>0.97019999999999995</v>
      </c>
      <c r="O141" s="122">
        <f t="shared" si="138"/>
        <v>0.97019999999999995</v>
      </c>
      <c r="P141" s="122">
        <f t="shared" si="138"/>
        <v>0.97019999999999995</v>
      </c>
      <c r="Q141" s="122">
        <f t="shared" si="138"/>
        <v>0.97019999999999995</v>
      </c>
      <c r="R141" s="122">
        <f t="shared" si="138"/>
        <v>0.97019999999999995</v>
      </c>
      <c r="S141" s="122">
        <f t="shared" si="138"/>
        <v>0.97019999999999995</v>
      </c>
      <c r="T141" s="122">
        <f t="shared" si="138"/>
        <v>0.97019999999999995</v>
      </c>
      <c r="U141" s="122">
        <f t="shared" si="138"/>
        <v>0.97019999999999995</v>
      </c>
      <c r="V141" s="122">
        <f t="shared" si="138"/>
        <v>0.97019999999999995</v>
      </c>
      <c r="W141" s="122">
        <f t="shared" si="138"/>
        <v>0.97019999999999995</v>
      </c>
      <c r="X141" s="122">
        <f t="shared" si="138"/>
        <v>0.97019999999999995</v>
      </c>
      <c r="Y141" s="122">
        <f t="shared" si="138"/>
        <v>0.97019999999999995</v>
      </c>
      <c r="Z141" s="122">
        <f t="shared" si="138"/>
        <v>0.97019999999999995</v>
      </c>
      <c r="AA141" s="122">
        <f t="shared" si="138"/>
        <v>0.97019999999999995</v>
      </c>
      <c r="AB141" s="122">
        <f t="shared" si="138"/>
        <v>0.97019999999999995</v>
      </c>
      <c r="AC141" s="122">
        <f t="shared" si="138"/>
        <v>0.97019999999999995</v>
      </c>
      <c r="AD141" s="122">
        <f t="shared" si="138"/>
        <v>0.97019999999999995</v>
      </c>
      <c r="AE141" s="122">
        <f t="shared" si="138"/>
        <v>0.97019999999999995</v>
      </c>
      <c r="AF141" s="122">
        <f t="shared" si="138"/>
        <v>0.97019999999999995</v>
      </c>
      <c r="AG141" s="122">
        <f t="shared" si="138"/>
        <v>0.97019999999999995</v>
      </c>
      <c r="AH141" s="122">
        <f t="shared" si="138"/>
        <v>0.97019999999999995</v>
      </c>
      <c r="AI141" s="122">
        <f t="shared" si="138"/>
        <v>0.97019999999999995</v>
      </c>
      <c r="AJ141" s="122">
        <f t="shared" si="138"/>
        <v>0.97019999999999995</v>
      </c>
      <c r="AK141" s="122">
        <f t="shared" si="138"/>
        <v>0.97019999999999995</v>
      </c>
      <c r="AL141" s="122">
        <f t="shared" si="138"/>
        <v>0.97019999999999995</v>
      </c>
      <c r="AM141" s="122">
        <f t="shared" si="138"/>
        <v>0.97019999999999995</v>
      </c>
      <c r="AN141" s="122">
        <f t="shared" si="138"/>
        <v>0.97019999999999995</v>
      </c>
      <c r="AO141" s="122">
        <f t="shared" si="138"/>
        <v>0.97019999999999995</v>
      </c>
      <c r="AP141" s="122">
        <f t="shared" si="138"/>
        <v>0.97019999999999995</v>
      </c>
      <c r="AQ141" s="122">
        <f t="shared" si="138"/>
        <v>0.97019999999999995</v>
      </c>
      <c r="AR141" s="122">
        <f t="shared" si="138"/>
        <v>0.97019999999999995</v>
      </c>
      <c r="AS141" s="122">
        <f t="shared" si="138"/>
        <v>0.97019999999999995</v>
      </c>
      <c r="AT141" s="122">
        <f t="shared" si="138"/>
        <v>0.97019999999999995</v>
      </c>
      <c r="AU141" s="122">
        <f t="shared" si="138"/>
        <v>0.97019999999999995</v>
      </c>
      <c r="AV141" s="122">
        <f t="shared" si="138"/>
        <v>0.97019999999999995</v>
      </c>
    </row>
    <row r="142" spans="1:48">
      <c r="A142" s="4" t="s">
        <v>17</v>
      </c>
      <c r="B142" s="176" t="str">
        <f t="shared" si="136"/>
        <v>CNR</v>
      </c>
      <c r="C142" s="176" t="str">
        <f t="shared" si="136"/>
        <v>Commercial - Refrigeration</v>
      </c>
      <c r="E142" s="170">
        <f t="shared" si="137"/>
        <v>0.02</v>
      </c>
      <c r="I142" s="181"/>
      <c r="J142" s="185">
        <f t="shared" si="138"/>
        <v>0.97019999999999995</v>
      </c>
      <c r="K142" s="122">
        <f t="shared" si="138"/>
        <v>0.97019999999999995</v>
      </c>
      <c r="L142" s="122">
        <f t="shared" si="138"/>
        <v>0.97019999999999995</v>
      </c>
      <c r="M142" s="122">
        <f t="shared" si="138"/>
        <v>0.97019999999999995</v>
      </c>
      <c r="N142" s="122">
        <f t="shared" si="138"/>
        <v>0.97019999999999995</v>
      </c>
      <c r="O142" s="122">
        <f t="shared" si="138"/>
        <v>0.97019999999999995</v>
      </c>
      <c r="P142" s="122">
        <f t="shared" si="138"/>
        <v>0.97019999999999995</v>
      </c>
      <c r="Q142" s="122">
        <f t="shared" si="138"/>
        <v>0.97019999999999995</v>
      </c>
      <c r="R142" s="122">
        <f t="shared" si="138"/>
        <v>0.97019999999999995</v>
      </c>
      <c r="S142" s="122">
        <f t="shared" si="138"/>
        <v>0.97019999999999995</v>
      </c>
      <c r="T142" s="122">
        <f t="shared" si="138"/>
        <v>0.97019999999999995</v>
      </c>
      <c r="U142" s="122">
        <f t="shared" si="138"/>
        <v>0.97019999999999995</v>
      </c>
      <c r="V142" s="122">
        <f t="shared" si="138"/>
        <v>0.97019999999999995</v>
      </c>
      <c r="W142" s="122">
        <f t="shared" si="138"/>
        <v>0.97019999999999995</v>
      </c>
      <c r="X142" s="122">
        <f t="shared" si="138"/>
        <v>0.97019999999999995</v>
      </c>
      <c r="Y142" s="122">
        <f t="shared" si="138"/>
        <v>0.97019999999999995</v>
      </c>
      <c r="Z142" s="122">
        <f t="shared" si="138"/>
        <v>0.97019999999999995</v>
      </c>
      <c r="AA142" s="122">
        <f t="shared" si="138"/>
        <v>0.97019999999999995</v>
      </c>
      <c r="AB142" s="122">
        <f t="shared" si="138"/>
        <v>0.97019999999999995</v>
      </c>
      <c r="AC142" s="122">
        <f t="shared" si="138"/>
        <v>0.97019999999999995</v>
      </c>
      <c r="AD142" s="122">
        <f t="shared" si="138"/>
        <v>0.97019999999999995</v>
      </c>
      <c r="AE142" s="122">
        <f t="shared" si="138"/>
        <v>0.97019999999999995</v>
      </c>
      <c r="AF142" s="122">
        <f t="shared" si="138"/>
        <v>0.97019999999999995</v>
      </c>
      <c r="AG142" s="122">
        <f t="shared" si="138"/>
        <v>0.97019999999999995</v>
      </c>
      <c r="AH142" s="122">
        <f t="shared" si="138"/>
        <v>0.97019999999999995</v>
      </c>
      <c r="AI142" s="122">
        <f t="shared" si="138"/>
        <v>0.97019999999999995</v>
      </c>
      <c r="AJ142" s="122">
        <f t="shared" si="138"/>
        <v>0.97019999999999995</v>
      </c>
      <c r="AK142" s="122">
        <f t="shared" si="138"/>
        <v>0.97019999999999995</v>
      </c>
      <c r="AL142" s="122">
        <f t="shared" si="138"/>
        <v>0.97019999999999995</v>
      </c>
      <c r="AM142" s="122">
        <f t="shared" si="138"/>
        <v>0.97019999999999995</v>
      </c>
      <c r="AN142" s="122">
        <f t="shared" si="138"/>
        <v>0.97019999999999995</v>
      </c>
      <c r="AO142" s="122">
        <f t="shared" si="138"/>
        <v>0.97019999999999995</v>
      </c>
      <c r="AP142" s="122">
        <f t="shared" si="138"/>
        <v>0.97019999999999995</v>
      </c>
      <c r="AQ142" s="122">
        <f t="shared" si="138"/>
        <v>0.97019999999999995</v>
      </c>
      <c r="AR142" s="122">
        <f t="shared" si="138"/>
        <v>0.97019999999999995</v>
      </c>
      <c r="AS142" s="122">
        <f t="shared" si="138"/>
        <v>0.97019999999999995</v>
      </c>
      <c r="AT142" s="122">
        <f t="shared" si="138"/>
        <v>0.97019999999999995</v>
      </c>
      <c r="AU142" s="122">
        <f t="shared" si="138"/>
        <v>0.97019999999999995</v>
      </c>
      <c r="AV142" s="122">
        <f t="shared" si="138"/>
        <v>0.97019999999999995</v>
      </c>
    </row>
    <row r="143" spans="1:48">
      <c r="A143" s="4" t="s">
        <v>17</v>
      </c>
      <c r="B143" s="176" t="str">
        <f t="shared" si="136"/>
        <v>CNW</v>
      </c>
      <c r="C143" s="176" t="str">
        <f t="shared" si="136"/>
        <v>Commercial - Water Heating</v>
      </c>
      <c r="E143" s="170">
        <f t="shared" si="137"/>
        <v>0.02</v>
      </c>
      <c r="I143" s="181"/>
      <c r="J143" s="185">
        <f t="shared" si="138"/>
        <v>0.97019999999999995</v>
      </c>
      <c r="K143" s="122">
        <f t="shared" si="138"/>
        <v>0.97019999999999995</v>
      </c>
      <c r="L143" s="122">
        <f t="shared" si="138"/>
        <v>0.97019999999999995</v>
      </c>
      <c r="M143" s="122">
        <f t="shared" si="138"/>
        <v>0.97019999999999995</v>
      </c>
      <c r="N143" s="122">
        <f t="shared" si="138"/>
        <v>0.97019999999999995</v>
      </c>
      <c r="O143" s="122">
        <f t="shared" si="138"/>
        <v>0.97019999999999995</v>
      </c>
      <c r="P143" s="122">
        <f t="shared" si="138"/>
        <v>0.97019999999999995</v>
      </c>
      <c r="Q143" s="122">
        <f t="shared" si="138"/>
        <v>0.97019999999999995</v>
      </c>
      <c r="R143" s="122">
        <f t="shared" si="138"/>
        <v>0.97019999999999995</v>
      </c>
      <c r="S143" s="122">
        <f t="shared" si="138"/>
        <v>0.97019999999999995</v>
      </c>
      <c r="T143" s="122">
        <f t="shared" si="138"/>
        <v>0.97019999999999995</v>
      </c>
      <c r="U143" s="122">
        <f t="shared" si="138"/>
        <v>0.97019999999999995</v>
      </c>
      <c r="V143" s="122">
        <f t="shared" si="138"/>
        <v>0.97019999999999995</v>
      </c>
      <c r="W143" s="122">
        <f t="shared" si="138"/>
        <v>0.97019999999999995</v>
      </c>
      <c r="X143" s="122">
        <f t="shared" si="138"/>
        <v>0.97019999999999995</v>
      </c>
      <c r="Y143" s="122">
        <f t="shared" si="138"/>
        <v>0.97019999999999995</v>
      </c>
      <c r="Z143" s="122">
        <f t="shared" si="138"/>
        <v>0.97019999999999995</v>
      </c>
      <c r="AA143" s="122">
        <f t="shared" si="138"/>
        <v>0.97019999999999995</v>
      </c>
      <c r="AB143" s="122">
        <f t="shared" si="138"/>
        <v>0.97019999999999995</v>
      </c>
      <c r="AC143" s="122">
        <f t="shared" si="138"/>
        <v>0.97019999999999995</v>
      </c>
      <c r="AD143" s="122">
        <f t="shared" si="138"/>
        <v>0.97019999999999995</v>
      </c>
      <c r="AE143" s="122">
        <f t="shared" si="138"/>
        <v>0.97019999999999995</v>
      </c>
      <c r="AF143" s="122">
        <f t="shared" si="138"/>
        <v>0.97019999999999995</v>
      </c>
      <c r="AG143" s="122">
        <f t="shared" si="138"/>
        <v>0.97019999999999995</v>
      </c>
      <c r="AH143" s="122">
        <f t="shared" si="138"/>
        <v>0.97019999999999995</v>
      </c>
      <c r="AI143" s="122">
        <f t="shared" si="138"/>
        <v>0.97019999999999995</v>
      </c>
      <c r="AJ143" s="122">
        <f t="shared" si="138"/>
        <v>0.97019999999999995</v>
      </c>
      <c r="AK143" s="122">
        <f t="shared" si="138"/>
        <v>0.97019999999999995</v>
      </c>
      <c r="AL143" s="122">
        <f t="shared" si="138"/>
        <v>0.97019999999999995</v>
      </c>
      <c r="AM143" s="122">
        <f t="shared" si="138"/>
        <v>0.97019999999999995</v>
      </c>
      <c r="AN143" s="122">
        <f t="shared" si="138"/>
        <v>0.97019999999999995</v>
      </c>
      <c r="AO143" s="122">
        <f t="shared" si="138"/>
        <v>0.97019999999999995</v>
      </c>
      <c r="AP143" s="122">
        <f t="shared" si="138"/>
        <v>0.97019999999999995</v>
      </c>
      <c r="AQ143" s="122">
        <f t="shared" si="138"/>
        <v>0.97019999999999995</v>
      </c>
      <c r="AR143" s="122">
        <f t="shared" si="138"/>
        <v>0.97019999999999995</v>
      </c>
      <c r="AS143" s="122">
        <f t="shared" si="138"/>
        <v>0.97019999999999995</v>
      </c>
      <c r="AT143" s="122">
        <f t="shared" si="138"/>
        <v>0.97019999999999995</v>
      </c>
      <c r="AU143" s="122">
        <f t="shared" si="138"/>
        <v>0.97019999999999995</v>
      </c>
      <c r="AV143" s="122">
        <f t="shared" si="138"/>
        <v>0.97019999999999995</v>
      </c>
    </row>
    <row r="144" spans="1:48">
      <c r="A144" s="4" t="s">
        <v>17</v>
      </c>
      <c r="B144" s="176" t="str">
        <f t="shared" si="136"/>
        <v>CNG</v>
      </c>
      <c r="C144" s="176" t="str">
        <f t="shared" si="136"/>
        <v>Commercial - Public lights</v>
      </c>
      <c r="E144" s="170">
        <f t="shared" si="137"/>
        <v>0.02</v>
      </c>
      <c r="I144" s="181"/>
      <c r="J144" s="185">
        <f t="shared" si="138"/>
        <v>0.97019999999999995</v>
      </c>
      <c r="K144" s="122">
        <f t="shared" si="138"/>
        <v>0.97019999999999995</v>
      </c>
      <c r="L144" s="122">
        <f t="shared" si="138"/>
        <v>0.97019999999999995</v>
      </c>
      <c r="M144" s="122">
        <f t="shared" si="138"/>
        <v>0.97019999999999995</v>
      </c>
      <c r="N144" s="122">
        <f t="shared" si="138"/>
        <v>0.97019999999999995</v>
      </c>
      <c r="O144" s="122">
        <f t="shared" si="138"/>
        <v>0.97019999999999995</v>
      </c>
      <c r="P144" s="122">
        <f t="shared" si="138"/>
        <v>0.97019999999999995</v>
      </c>
      <c r="Q144" s="122">
        <f t="shared" si="138"/>
        <v>0.97019999999999995</v>
      </c>
      <c r="R144" s="122">
        <f t="shared" si="138"/>
        <v>0.97019999999999995</v>
      </c>
      <c r="S144" s="122">
        <f t="shared" si="138"/>
        <v>0.97019999999999995</v>
      </c>
      <c r="T144" s="122">
        <f t="shared" si="138"/>
        <v>0.97019999999999995</v>
      </c>
      <c r="U144" s="122">
        <f t="shared" si="138"/>
        <v>0.97019999999999995</v>
      </c>
      <c r="V144" s="122">
        <f t="shared" si="138"/>
        <v>0.97019999999999995</v>
      </c>
      <c r="W144" s="122">
        <f t="shared" si="138"/>
        <v>0.97019999999999995</v>
      </c>
      <c r="X144" s="122">
        <f t="shared" si="138"/>
        <v>0.97019999999999995</v>
      </c>
      <c r="Y144" s="122">
        <f t="shared" si="138"/>
        <v>0.97019999999999995</v>
      </c>
      <c r="Z144" s="122">
        <f t="shared" si="138"/>
        <v>0.97019999999999995</v>
      </c>
      <c r="AA144" s="122">
        <f t="shared" si="138"/>
        <v>0.97019999999999995</v>
      </c>
      <c r="AB144" s="122">
        <f t="shared" si="138"/>
        <v>0.97019999999999995</v>
      </c>
      <c r="AC144" s="122">
        <f t="shared" si="138"/>
        <v>0.97019999999999995</v>
      </c>
      <c r="AD144" s="122">
        <f t="shared" si="138"/>
        <v>0.97019999999999995</v>
      </c>
      <c r="AE144" s="122">
        <f t="shared" ref="AE144:AV146" si="139">AE133*(1-$E144)</f>
        <v>0.97019999999999995</v>
      </c>
      <c r="AF144" s="122">
        <f t="shared" si="139"/>
        <v>0.97019999999999995</v>
      </c>
      <c r="AG144" s="122">
        <f t="shared" si="139"/>
        <v>0.97019999999999995</v>
      </c>
      <c r="AH144" s="122">
        <f t="shared" si="139"/>
        <v>0.97019999999999995</v>
      </c>
      <c r="AI144" s="122">
        <f t="shared" si="139"/>
        <v>0.97019999999999995</v>
      </c>
      <c r="AJ144" s="122">
        <f t="shared" si="139"/>
        <v>0.97019999999999995</v>
      </c>
      <c r="AK144" s="122">
        <f t="shared" si="139"/>
        <v>0.97019999999999995</v>
      </c>
      <c r="AL144" s="122">
        <f t="shared" si="139"/>
        <v>0.97019999999999995</v>
      </c>
      <c r="AM144" s="122">
        <f t="shared" si="139"/>
        <v>0.97019999999999995</v>
      </c>
      <c r="AN144" s="122">
        <f t="shared" si="139"/>
        <v>0.97019999999999995</v>
      </c>
      <c r="AO144" s="122">
        <f t="shared" si="139"/>
        <v>0.97019999999999995</v>
      </c>
      <c r="AP144" s="122">
        <f t="shared" si="139"/>
        <v>0.97019999999999995</v>
      </c>
      <c r="AQ144" s="122">
        <f t="shared" si="139"/>
        <v>0.97019999999999995</v>
      </c>
      <c r="AR144" s="122">
        <f t="shared" si="139"/>
        <v>0.97019999999999995</v>
      </c>
      <c r="AS144" s="122">
        <f t="shared" si="139"/>
        <v>0.97019999999999995</v>
      </c>
      <c r="AT144" s="122">
        <f t="shared" si="139"/>
        <v>0.97019999999999995</v>
      </c>
      <c r="AU144" s="122">
        <f t="shared" si="139"/>
        <v>0.97019999999999995</v>
      </c>
      <c r="AV144" s="122">
        <f t="shared" si="139"/>
        <v>0.97019999999999995</v>
      </c>
    </row>
    <row r="145" spans="1:48">
      <c r="A145" s="4" t="s">
        <v>17</v>
      </c>
      <c r="B145" s="176" t="str">
        <f t="shared" si="136"/>
        <v>CNT</v>
      </c>
      <c r="C145" s="176" t="str">
        <f t="shared" si="136"/>
        <v>Commercial - Public Water</v>
      </c>
      <c r="E145" s="170">
        <f t="shared" si="137"/>
        <v>0.02</v>
      </c>
      <c r="I145" s="181"/>
      <c r="J145" s="185">
        <f t="shared" ref="J145:AV146" si="140">J134*(1-$E145)</f>
        <v>0.97019999999999995</v>
      </c>
      <c r="K145" s="122">
        <f t="shared" si="140"/>
        <v>0.97019999999999995</v>
      </c>
      <c r="L145" s="122">
        <f t="shared" si="140"/>
        <v>0.97019999999999995</v>
      </c>
      <c r="M145" s="122">
        <f t="shared" si="140"/>
        <v>0.97019999999999995</v>
      </c>
      <c r="N145" s="122">
        <f t="shared" si="140"/>
        <v>0.97019999999999995</v>
      </c>
      <c r="O145" s="122">
        <f t="shared" si="140"/>
        <v>0.97019999999999995</v>
      </c>
      <c r="P145" s="122">
        <f t="shared" si="140"/>
        <v>0.97019999999999995</v>
      </c>
      <c r="Q145" s="122">
        <f t="shared" si="140"/>
        <v>0.97019999999999995</v>
      </c>
      <c r="R145" s="122">
        <f t="shared" si="140"/>
        <v>0.97019999999999995</v>
      </c>
      <c r="S145" s="122">
        <f t="shared" si="140"/>
        <v>0.97019999999999995</v>
      </c>
      <c r="T145" s="122">
        <f t="shared" si="140"/>
        <v>0.97019999999999995</v>
      </c>
      <c r="U145" s="122">
        <f t="shared" si="140"/>
        <v>0.97019999999999995</v>
      </c>
      <c r="V145" s="122">
        <f t="shared" si="140"/>
        <v>0.97019999999999995</v>
      </c>
      <c r="W145" s="122">
        <f t="shared" si="140"/>
        <v>0.97019999999999995</v>
      </c>
      <c r="X145" s="122">
        <f t="shared" si="140"/>
        <v>0.97019999999999995</v>
      </c>
      <c r="Y145" s="122">
        <f t="shared" si="140"/>
        <v>0.97019999999999995</v>
      </c>
      <c r="Z145" s="122">
        <f t="shared" si="140"/>
        <v>0.97019999999999995</v>
      </c>
      <c r="AA145" s="122">
        <f t="shared" si="140"/>
        <v>0.97019999999999995</v>
      </c>
      <c r="AB145" s="122">
        <f t="shared" si="140"/>
        <v>0.97019999999999995</v>
      </c>
      <c r="AC145" s="122">
        <f t="shared" si="140"/>
        <v>0.97019999999999995</v>
      </c>
      <c r="AD145" s="122">
        <f t="shared" si="140"/>
        <v>0.97019999999999995</v>
      </c>
      <c r="AE145" s="122">
        <f t="shared" si="140"/>
        <v>0.97019999999999995</v>
      </c>
      <c r="AF145" s="122">
        <f t="shared" si="140"/>
        <v>0.97019999999999995</v>
      </c>
      <c r="AG145" s="122">
        <f t="shared" si="140"/>
        <v>0.97019999999999995</v>
      </c>
      <c r="AH145" s="122">
        <f t="shared" si="140"/>
        <v>0.97019999999999995</v>
      </c>
      <c r="AI145" s="122">
        <f t="shared" si="139"/>
        <v>0.97019999999999995</v>
      </c>
      <c r="AJ145" s="122">
        <f t="shared" si="139"/>
        <v>0.97019999999999995</v>
      </c>
      <c r="AK145" s="122">
        <f t="shared" si="139"/>
        <v>0.97019999999999995</v>
      </c>
      <c r="AL145" s="122">
        <f t="shared" si="139"/>
        <v>0.97019999999999995</v>
      </c>
      <c r="AM145" s="122">
        <f t="shared" si="139"/>
        <v>0.97019999999999995</v>
      </c>
      <c r="AN145" s="122">
        <f t="shared" si="139"/>
        <v>0.97019999999999995</v>
      </c>
      <c r="AO145" s="122">
        <f t="shared" si="139"/>
        <v>0.97019999999999995</v>
      </c>
      <c r="AP145" s="122">
        <f t="shared" si="139"/>
        <v>0.97019999999999995</v>
      </c>
      <c r="AQ145" s="122">
        <f t="shared" si="139"/>
        <v>0.97019999999999995</v>
      </c>
      <c r="AR145" s="122">
        <f t="shared" si="139"/>
        <v>0.97019999999999995</v>
      </c>
      <c r="AS145" s="122">
        <f t="shared" si="140"/>
        <v>0.97019999999999995</v>
      </c>
      <c r="AT145" s="122">
        <f t="shared" si="140"/>
        <v>0.97019999999999995</v>
      </c>
      <c r="AU145" s="122">
        <f t="shared" si="140"/>
        <v>0.97019999999999995</v>
      </c>
      <c r="AV145" s="122">
        <f t="shared" si="140"/>
        <v>0.97019999999999995</v>
      </c>
    </row>
    <row r="146" spans="1:48">
      <c r="A146" s="4" t="s">
        <v>17</v>
      </c>
      <c r="B146" s="176" t="str">
        <f t="shared" si="136"/>
        <v>CNO</v>
      </c>
      <c r="C146" s="176" t="str">
        <f t="shared" si="136"/>
        <v>Commercial - Other</v>
      </c>
      <c r="E146" s="170">
        <f t="shared" si="137"/>
        <v>0.02</v>
      </c>
      <c r="I146" s="181"/>
      <c r="J146" s="185">
        <f t="shared" si="140"/>
        <v>0.97019999999999995</v>
      </c>
      <c r="K146" s="122">
        <f t="shared" si="140"/>
        <v>0.97019999999999995</v>
      </c>
      <c r="L146" s="122">
        <f t="shared" si="140"/>
        <v>0.97019999999999995</v>
      </c>
      <c r="M146" s="122">
        <f t="shared" si="140"/>
        <v>0.97019999999999995</v>
      </c>
      <c r="N146" s="122">
        <f t="shared" si="140"/>
        <v>0.97019999999999995</v>
      </c>
      <c r="O146" s="122">
        <f t="shared" si="140"/>
        <v>0.97019999999999995</v>
      </c>
      <c r="P146" s="122">
        <f t="shared" si="140"/>
        <v>0.97019999999999995</v>
      </c>
      <c r="Q146" s="122">
        <f t="shared" si="140"/>
        <v>0.97019999999999995</v>
      </c>
      <c r="R146" s="122">
        <f t="shared" si="140"/>
        <v>0.97019999999999995</v>
      </c>
      <c r="S146" s="122">
        <f t="shared" si="140"/>
        <v>0.97019999999999995</v>
      </c>
      <c r="T146" s="122">
        <f t="shared" si="140"/>
        <v>0.97019999999999995</v>
      </c>
      <c r="U146" s="122">
        <f t="shared" si="140"/>
        <v>0.97019999999999995</v>
      </c>
      <c r="V146" s="122">
        <f t="shared" si="140"/>
        <v>0.97019999999999995</v>
      </c>
      <c r="W146" s="122">
        <f t="shared" si="140"/>
        <v>0.97019999999999995</v>
      </c>
      <c r="X146" s="122">
        <f t="shared" si="140"/>
        <v>0.97019999999999995</v>
      </c>
      <c r="Y146" s="122">
        <f t="shared" si="140"/>
        <v>0.97019999999999995</v>
      </c>
      <c r="Z146" s="122">
        <f t="shared" si="140"/>
        <v>0.97019999999999995</v>
      </c>
      <c r="AA146" s="122">
        <f t="shared" si="140"/>
        <v>0.97019999999999995</v>
      </c>
      <c r="AB146" s="122">
        <f t="shared" si="140"/>
        <v>0.97019999999999995</v>
      </c>
      <c r="AC146" s="122">
        <f t="shared" si="140"/>
        <v>0.97019999999999995</v>
      </c>
      <c r="AD146" s="122">
        <f t="shared" si="140"/>
        <v>0.97019999999999995</v>
      </c>
      <c r="AE146" s="122">
        <f t="shared" si="140"/>
        <v>0.97019999999999995</v>
      </c>
      <c r="AF146" s="122">
        <f t="shared" si="140"/>
        <v>0.97019999999999995</v>
      </c>
      <c r="AG146" s="122">
        <f t="shared" si="140"/>
        <v>0.97019999999999995</v>
      </c>
      <c r="AH146" s="122">
        <f t="shared" si="140"/>
        <v>0.97019999999999995</v>
      </c>
      <c r="AI146" s="122">
        <f t="shared" si="139"/>
        <v>0.97019999999999995</v>
      </c>
      <c r="AJ146" s="122">
        <f t="shared" si="139"/>
        <v>0.97019999999999995</v>
      </c>
      <c r="AK146" s="122">
        <f t="shared" si="139"/>
        <v>0.97019999999999995</v>
      </c>
      <c r="AL146" s="122">
        <f t="shared" si="139"/>
        <v>0.97019999999999995</v>
      </c>
      <c r="AM146" s="122">
        <f t="shared" si="139"/>
        <v>0.97019999999999995</v>
      </c>
      <c r="AN146" s="122">
        <f t="shared" si="139"/>
        <v>0.97019999999999995</v>
      </c>
      <c r="AO146" s="122">
        <f t="shared" si="139"/>
        <v>0.97019999999999995</v>
      </c>
      <c r="AP146" s="122">
        <f t="shared" si="139"/>
        <v>0.97019999999999995</v>
      </c>
      <c r="AQ146" s="122">
        <f t="shared" si="139"/>
        <v>0.97019999999999995</v>
      </c>
      <c r="AR146" s="122">
        <f t="shared" si="139"/>
        <v>0.97019999999999995</v>
      </c>
      <c r="AS146" s="122">
        <f t="shared" si="140"/>
        <v>0.97019999999999995</v>
      </c>
      <c r="AT146" s="122">
        <f t="shared" si="140"/>
        <v>0.97019999999999995</v>
      </c>
      <c r="AU146" s="122">
        <f t="shared" si="140"/>
        <v>0.97019999999999995</v>
      </c>
      <c r="AV146" s="122">
        <f t="shared" si="140"/>
        <v>0.97019999999999995</v>
      </c>
    </row>
    <row r="147" spans="1:48">
      <c r="A147" s="4" t="s">
        <v>17</v>
      </c>
      <c r="I147" s="181"/>
      <c r="K147" s="96"/>
    </row>
    <row r="148" spans="1:48" ht="18.600000000000001" thickBot="1">
      <c r="A148" s="4" t="s">
        <v>17</v>
      </c>
      <c r="B148" s="195" t="s">
        <v>515</v>
      </c>
      <c r="C148" s="94"/>
      <c r="D148" s="94"/>
      <c r="E148" s="94"/>
      <c r="F148" s="94"/>
      <c r="G148" s="94"/>
      <c r="H148" s="94"/>
      <c r="I148" s="182"/>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row>
    <row r="149" spans="1:48">
      <c r="A149" s="4" t="s">
        <v>17</v>
      </c>
      <c r="B149" s="194"/>
      <c r="C149" s="194"/>
      <c r="D149" s="194"/>
      <c r="E149" s="194"/>
      <c r="F149" s="194"/>
      <c r="G149" s="194"/>
      <c r="H149" s="194"/>
      <c r="I149" s="193"/>
      <c r="K149" s="96"/>
    </row>
    <row r="150" spans="1:48" ht="15" thickBot="1">
      <c r="A150" s="4" t="s">
        <v>17</v>
      </c>
      <c r="B150" s="94" t="s">
        <v>529</v>
      </c>
      <c r="C150" s="194"/>
      <c r="D150" s="194"/>
      <c r="E150" s="194"/>
      <c r="F150" s="194"/>
      <c r="G150" s="194"/>
      <c r="H150" s="194"/>
      <c r="I150" s="193"/>
      <c r="K150" s="96"/>
    </row>
    <row r="151" spans="1:48">
      <c r="A151" s="4" t="s">
        <v>17</v>
      </c>
      <c r="B151" s="96" t="str">
        <f>B92</f>
        <v>CEC</v>
      </c>
      <c r="C151" s="96" t="str">
        <f>C92</f>
        <v>Commercial - Cooling</v>
      </c>
      <c r="D151" s="194"/>
      <c r="E151" s="194"/>
      <c r="F151" s="194"/>
      <c r="G151" s="194"/>
      <c r="H151" s="194"/>
      <c r="I151" s="193"/>
      <c r="J151" s="190">
        <f t="shared" ref="J151:J159" si="141">J92*J$34/1000</f>
        <v>27.932878870776872</v>
      </c>
      <c r="K151" s="190">
        <f t="shared" ref="K151:AV158" si="142">K92*K$34/1000</f>
        <v>27.164522477645527</v>
      </c>
      <c r="L151" s="190">
        <f t="shared" si="142"/>
        <v>26.455796347558056</v>
      </c>
      <c r="M151" s="190">
        <f t="shared" si="142"/>
        <v>25.686194700080005</v>
      </c>
      <c r="N151" s="190">
        <f t="shared" si="142"/>
        <v>24.884333969428656</v>
      </c>
      <c r="O151" s="190">
        <f t="shared" si="142"/>
        <v>24.056668064799556</v>
      </c>
      <c r="P151" s="190">
        <f t="shared" si="142"/>
        <v>24.188905860604912</v>
      </c>
      <c r="Q151" s="190">
        <f t="shared" si="142"/>
        <v>24.320241556811443</v>
      </c>
      <c r="R151" s="190">
        <f t="shared" si="142"/>
        <v>24.450692151083206</v>
      </c>
      <c r="S151" s="190">
        <f t="shared" si="142"/>
        <v>24.580274121374202</v>
      </c>
      <c r="T151" s="190">
        <f t="shared" si="142"/>
        <v>24.70900344777235</v>
      </c>
      <c r="U151" s="190">
        <f t="shared" si="142"/>
        <v>24.883313584444867</v>
      </c>
      <c r="V151" s="190">
        <f t="shared" si="142"/>
        <v>25.056102950289002</v>
      </c>
      <c r="W151" s="190">
        <f t="shared" si="142"/>
        <v>25.227408069206298</v>
      </c>
      <c r="X151" s="190">
        <f t="shared" si="142"/>
        <v>25.397264046354987</v>
      </c>
      <c r="Y151" s="190">
        <f t="shared" si="142"/>
        <v>25.565704643666795</v>
      </c>
      <c r="Z151" s="190">
        <f t="shared" si="142"/>
        <v>25.792577939333313</v>
      </c>
      <c r="AA151" s="190">
        <f t="shared" si="142"/>
        <v>26.016971352721821</v>
      </c>
      <c r="AB151" s="190">
        <f t="shared" si="142"/>
        <v>26.238959213146561</v>
      </c>
      <c r="AC151" s="190">
        <f t="shared" si="142"/>
        <v>26.458612260130266</v>
      </c>
      <c r="AD151" s="190">
        <f t="shared" si="142"/>
        <v>26.675997880112348</v>
      </c>
      <c r="AE151" s="190">
        <f t="shared" si="142"/>
        <v>26.923320285525786</v>
      </c>
      <c r="AF151" s="190">
        <f t="shared" si="142"/>
        <v>27.167820756782209</v>
      </c>
      <c r="AG151" s="190">
        <f t="shared" si="142"/>
        <v>27.40958750944759</v>
      </c>
      <c r="AH151" s="190">
        <f t="shared" si="142"/>
        <v>27.64870431920712</v>
      </c>
      <c r="AI151" s="190">
        <f t="shared" si="142"/>
        <v>27.885250826720291</v>
      </c>
      <c r="AJ151" s="190">
        <f t="shared" si="142"/>
        <v>28.151288868712982</v>
      </c>
      <c r="AK151" s="190">
        <f t="shared" si="142"/>
        <v>28.414205180812019</v>
      </c>
      <c r="AL151" s="190">
        <f t="shared" si="142"/>
        <v>28.674100066062525</v>
      </c>
      <c r="AM151" s="190">
        <f t="shared" si="142"/>
        <v>28.931068641625483</v>
      </c>
      <c r="AN151" s="190">
        <f t="shared" si="142"/>
        <v>29.185201204371594</v>
      </c>
      <c r="AO151" s="190">
        <f t="shared" si="142"/>
        <v>29.445444604464271</v>
      </c>
      <c r="AP151" s="190">
        <f t="shared" si="142"/>
        <v>29.702829902867002</v>
      </c>
      <c r="AQ151" s="190">
        <f t="shared" si="142"/>
        <v>29.957443162769955</v>
      </c>
      <c r="AR151" s="190">
        <f t="shared" si="142"/>
        <v>30.209366271952817</v>
      </c>
      <c r="AS151" s="190">
        <f t="shared" si="142"/>
        <v>30.458677219338316</v>
      </c>
      <c r="AT151" s="190">
        <f t="shared" si="142"/>
        <v>30.707612673934978</v>
      </c>
      <c r="AU151" s="190">
        <f t="shared" si="142"/>
        <v>30.954038215046531</v>
      </c>
      <c r="AV151" s="190">
        <f t="shared" si="142"/>
        <v>31.198023338921161</v>
      </c>
    </row>
    <row r="152" spans="1:48">
      <c r="A152" s="4" t="s">
        <v>17</v>
      </c>
      <c r="B152" s="96" t="str">
        <f t="shared" ref="B152:C159" si="143">B93</f>
        <v>CEH</v>
      </c>
      <c r="C152" s="96" t="str">
        <f t="shared" si="143"/>
        <v>Commercial - Space Heating</v>
      </c>
      <c r="D152" s="194"/>
      <c r="E152" s="194"/>
      <c r="F152" s="194"/>
      <c r="G152" s="194"/>
      <c r="H152" s="194"/>
      <c r="I152" s="193"/>
      <c r="J152" s="190">
        <f t="shared" si="141"/>
        <v>1.5703509815003798</v>
      </c>
      <c r="K152" s="190">
        <f t="shared" ref="K152:Y152" si="144">K93*K$34/1000</f>
        <v>1.7079229448801161</v>
      </c>
      <c r="L152" s="190">
        <f t="shared" si="144"/>
        <v>1.8531394940448356</v>
      </c>
      <c r="M152" s="190">
        <f t="shared" si="144"/>
        <v>1.9984343471492971</v>
      </c>
      <c r="N152" s="190">
        <f t="shared" si="144"/>
        <v>2.1453491486161242</v>
      </c>
      <c r="O152" s="190">
        <f t="shared" si="144"/>
        <v>2.2941963422736764</v>
      </c>
      <c r="P152" s="190">
        <f t="shared" si="144"/>
        <v>2.306807376629298</v>
      </c>
      <c r="Q152" s="190">
        <f t="shared" si="144"/>
        <v>2.3193323810495019</v>
      </c>
      <c r="R152" s="190">
        <f t="shared" si="144"/>
        <v>2.3317729765392663</v>
      </c>
      <c r="S152" s="190">
        <f t="shared" si="144"/>
        <v>2.3441307345407254</v>
      </c>
      <c r="T152" s="190">
        <f t="shared" si="144"/>
        <v>2.3564071790163474</v>
      </c>
      <c r="U152" s="190">
        <f t="shared" si="144"/>
        <v>2.3730304984593449</v>
      </c>
      <c r="V152" s="190">
        <f t="shared" si="144"/>
        <v>2.3895087875572205</v>
      </c>
      <c r="W152" s="190">
        <f t="shared" si="144"/>
        <v>2.4058455294607217</v>
      </c>
      <c r="X152" s="190">
        <f t="shared" si="144"/>
        <v>2.4220440720202392</v>
      </c>
      <c r="Y152" s="190">
        <f t="shared" si="144"/>
        <v>2.4381076349875719</v>
      </c>
      <c r="Z152" s="190">
        <f t="shared" si="142"/>
        <v>2.4597437104272672</v>
      </c>
      <c r="AA152" s="190">
        <f t="shared" si="142"/>
        <v>2.4811432885749776</v>
      </c>
      <c r="AB152" s="190">
        <f t="shared" si="142"/>
        <v>2.502313457945224</v>
      </c>
      <c r="AC152" s="190">
        <f t="shared" si="142"/>
        <v>2.5232609647072537</v>
      </c>
      <c r="AD152" s="190">
        <f t="shared" si="142"/>
        <v>2.5439922352590361</v>
      </c>
      <c r="AE152" s="190">
        <f t="shared" si="142"/>
        <v>2.5675784674144393</v>
      </c>
      <c r="AF152" s="190">
        <f t="shared" si="142"/>
        <v>2.5908955820426884</v>
      </c>
      <c r="AG152" s="190">
        <f t="shared" si="142"/>
        <v>2.6139519919392815</v>
      </c>
      <c r="AH152" s="190">
        <f t="shared" si="142"/>
        <v>2.6367556864845447</v>
      </c>
      <c r="AI152" s="190">
        <f t="shared" si="142"/>
        <v>2.6593142607165428</v>
      </c>
      <c r="AJ152" s="190">
        <f t="shared" si="142"/>
        <v>2.6846853345993118</v>
      </c>
      <c r="AK152" s="190">
        <f t="shared" si="142"/>
        <v>2.7097587005333201</v>
      </c>
      <c r="AL152" s="190">
        <f t="shared" si="142"/>
        <v>2.7345439240526903</v>
      </c>
      <c r="AM152" s="190">
        <f t="shared" si="142"/>
        <v>2.7590500761327634</v>
      </c>
      <c r="AN152" s="190">
        <f t="shared" si="142"/>
        <v>2.7832857680554484</v>
      </c>
      <c r="AO152" s="190">
        <f t="shared" si="142"/>
        <v>2.8081042281591189</v>
      </c>
      <c r="AP152" s="190">
        <f t="shared" si="142"/>
        <v>2.8326501215704591</v>
      </c>
      <c r="AQ152" s="190">
        <f t="shared" si="142"/>
        <v>2.8569316558207678</v>
      </c>
      <c r="AR152" s="190">
        <f t="shared" si="142"/>
        <v>2.8809566402477351</v>
      </c>
      <c r="AS152" s="190">
        <f t="shared" si="142"/>
        <v>2.9047325123693413</v>
      </c>
      <c r="AT152" s="190">
        <f t="shared" si="142"/>
        <v>2.9284725751186604</v>
      </c>
      <c r="AU152" s="190">
        <f t="shared" si="142"/>
        <v>2.9519732766097442</v>
      </c>
      <c r="AV152" s="190">
        <f t="shared" si="142"/>
        <v>2.9752412444452987</v>
      </c>
    </row>
    <row r="153" spans="1:48">
      <c r="A153" s="4" t="s">
        <v>17</v>
      </c>
      <c r="B153" s="96" t="str">
        <f t="shared" si="143"/>
        <v>CEK</v>
      </c>
      <c r="C153" s="96" t="str">
        <f t="shared" si="143"/>
        <v>Commercial - Cooking</v>
      </c>
      <c r="D153" s="194"/>
      <c r="E153" s="194"/>
      <c r="F153" s="194"/>
      <c r="G153" s="194"/>
      <c r="H153" s="194"/>
      <c r="I153" s="193"/>
      <c r="J153" s="190">
        <f t="shared" si="141"/>
        <v>1.9788999513059524</v>
      </c>
      <c r="K153" s="190">
        <f t="shared" si="142"/>
        <v>1.9267022256351465</v>
      </c>
      <c r="L153" s="190">
        <f t="shared" si="142"/>
        <v>1.8787820966260835</v>
      </c>
      <c r="M153" s="190">
        <f t="shared" si="142"/>
        <v>1.8265925600138226</v>
      </c>
      <c r="N153" s="190">
        <f t="shared" si="142"/>
        <v>1.7721601115546823</v>
      </c>
      <c r="O153" s="190">
        <f t="shared" si="142"/>
        <v>1.7159413539708159</v>
      </c>
      <c r="P153" s="190">
        <f t="shared" si="142"/>
        <v>1.7253737617244227</v>
      </c>
      <c r="Q153" s="190">
        <f t="shared" si="142"/>
        <v>1.7347418234928389</v>
      </c>
      <c r="R153" s="190">
        <f t="shared" si="142"/>
        <v>1.7440467517047609</v>
      </c>
      <c r="S153" s="190">
        <f t="shared" si="142"/>
        <v>1.7532897217184134</v>
      </c>
      <c r="T153" s="190">
        <f t="shared" si="142"/>
        <v>1.7624718733796656</v>
      </c>
      <c r="U153" s="190">
        <f t="shared" si="142"/>
        <v>1.77490526486709</v>
      </c>
      <c r="V153" s="190">
        <f t="shared" si="142"/>
        <v>1.7872301810849009</v>
      </c>
      <c r="W153" s="190">
        <f t="shared" si="142"/>
        <v>1.7994492272514477</v>
      </c>
      <c r="X153" s="190">
        <f t="shared" si="142"/>
        <v>1.8115649073873445</v>
      </c>
      <c r="Y153" s="190">
        <f t="shared" si="142"/>
        <v>1.8235796297020197</v>
      </c>
      <c r="Z153" s="190">
        <f t="shared" si="142"/>
        <v>1.8397623059187425</v>
      </c>
      <c r="AA153" s="190">
        <f t="shared" si="142"/>
        <v>1.855768094274588</v>
      </c>
      <c r="AB153" s="190">
        <f t="shared" si="142"/>
        <v>1.8716022966153387</v>
      </c>
      <c r="AC153" s="190">
        <f t="shared" si="142"/>
        <v>1.8872699587300497</v>
      </c>
      <c r="AD153" s="190">
        <f t="shared" si="142"/>
        <v>1.9027758872352383</v>
      </c>
      <c r="AE153" s="190">
        <f t="shared" si="142"/>
        <v>1.9204171807871675</v>
      </c>
      <c r="AF153" s="190">
        <f t="shared" si="142"/>
        <v>1.9378571882131399</v>
      </c>
      <c r="AG153" s="190">
        <f t="shared" si="142"/>
        <v>1.9551022018532784</v>
      </c>
      <c r="AH153" s="190">
        <f t="shared" si="142"/>
        <v>1.9721581973548472</v>
      </c>
      <c r="AI153" s="190">
        <f t="shared" si="142"/>
        <v>1.9890308554172969</v>
      </c>
      <c r="AJ153" s="190">
        <f t="shared" si="142"/>
        <v>2.008007119160681</v>
      </c>
      <c r="AK153" s="190">
        <f t="shared" si="142"/>
        <v>2.0267607126071638</v>
      </c>
      <c r="AL153" s="190">
        <f t="shared" si="142"/>
        <v>2.0452987902863162</v>
      </c>
      <c r="AM153" s="190">
        <f t="shared" si="142"/>
        <v>2.0636281368230733</v>
      </c>
      <c r="AN153" s="190">
        <f t="shared" si="142"/>
        <v>2.0817551930152285</v>
      </c>
      <c r="AO153" s="190">
        <f t="shared" si="142"/>
        <v>2.1003181299570417</v>
      </c>
      <c r="AP153" s="190">
        <f t="shared" si="142"/>
        <v>2.1186772009740125</v>
      </c>
      <c r="AQ153" s="190">
        <f t="shared" si="142"/>
        <v>2.13683854487916</v>
      </c>
      <c r="AR153" s="190">
        <f t="shared" si="142"/>
        <v>2.1548080026570768</v>
      </c>
      <c r="AS153" s="190">
        <f t="shared" si="142"/>
        <v>2.1725911371902584</v>
      </c>
      <c r="AT153" s="190">
        <f t="shared" si="142"/>
        <v>2.1903474881471463</v>
      </c>
      <c r="AU153" s="190">
        <f t="shared" si="142"/>
        <v>2.2079248091430936</v>
      </c>
      <c r="AV153" s="190">
        <f t="shared" si="142"/>
        <v>2.225328057285457</v>
      </c>
    </row>
    <row r="154" spans="1:48">
      <c r="A154" s="4" t="s">
        <v>17</v>
      </c>
      <c r="B154" s="96" t="str">
        <f t="shared" si="143"/>
        <v>CEL</v>
      </c>
      <c r="C154" s="96" t="str">
        <f t="shared" si="143"/>
        <v>Commercial - Lighting</v>
      </c>
      <c r="D154" s="194"/>
      <c r="E154" s="194"/>
      <c r="F154" s="194"/>
      <c r="G154" s="194"/>
      <c r="H154" s="194"/>
      <c r="I154" s="193"/>
      <c r="J154" s="190">
        <f t="shared" si="141"/>
        <v>24.308054381137783</v>
      </c>
      <c r="K154" s="190">
        <f t="shared" si="142"/>
        <v>23.639406903921547</v>
      </c>
      <c r="L154" s="190">
        <f t="shared" si="142"/>
        <v>23.022651524313215</v>
      </c>
      <c r="M154" s="190">
        <f t="shared" si="142"/>
        <v>22.352920388283366</v>
      </c>
      <c r="N154" s="190">
        <f t="shared" si="142"/>
        <v>21.655116401199031</v>
      </c>
      <c r="O154" s="190">
        <f t="shared" si="142"/>
        <v>20.934855954282256</v>
      </c>
      <c r="P154" s="190">
        <f t="shared" si="142"/>
        <v>21.049933370632683</v>
      </c>
      <c r="Q154" s="190">
        <f t="shared" si="142"/>
        <v>21.164225752035335</v>
      </c>
      <c r="R154" s="190">
        <f t="shared" si="142"/>
        <v>21.277747890382749</v>
      </c>
      <c r="S154" s="190">
        <f t="shared" si="142"/>
        <v>21.390514125299688</v>
      </c>
      <c r="T154" s="190">
        <f t="shared" si="142"/>
        <v>21.502538363152489</v>
      </c>
      <c r="U154" s="190">
        <f t="shared" si="142"/>
        <v>21.65422843065398</v>
      </c>
      <c r="V154" s="190">
        <f t="shared" si="142"/>
        <v>21.804595076385429</v>
      </c>
      <c r="W154" s="190">
        <f t="shared" si="142"/>
        <v>21.953670084574625</v>
      </c>
      <c r="X154" s="190">
        <f t="shared" si="142"/>
        <v>22.101484004815092</v>
      </c>
      <c r="Y154" s="190">
        <f t="shared" si="142"/>
        <v>22.248066217783133</v>
      </c>
      <c r="Z154" s="190">
        <f t="shared" si="142"/>
        <v>22.445498370559164</v>
      </c>
      <c r="AA154" s="190">
        <f t="shared" si="142"/>
        <v>22.640772453143025</v>
      </c>
      <c r="AB154" s="190">
        <f t="shared" si="142"/>
        <v>22.833953149200898</v>
      </c>
      <c r="AC154" s="190">
        <f t="shared" si="142"/>
        <v>23.025102018451484</v>
      </c>
      <c r="AD154" s="190">
        <f t="shared" si="142"/>
        <v>23.214277702656741</v>
      </c>
      <c r="AE154" s="190">
        <f t="shared" si="142"/>
        <v>23.429505302657301</v>
      </c>
      <c r="AF154" s="190">
        <f t="shared" si="142"/>
        <v>23.642277168350418</v>
      </c>
      <c r="AG154" s="190">
        <f t="shared" si="142"/>
        <v>23.852670067647647</v>
      </c>
      <c r="AH154" s="190">
        <f t="shared" si="142"/>
        <v>24.060756904739108</v>
      </c>
      <c r="AI154" s="190">
        <f t="shared" si="142"/>
        <v>24.266606985387757</v>
      </c>
      <c r="AJ154" s="190">
        <f t="shared" si="142"/>
        <v>24.498121510694183</v>
      </c>
      <c r="AK154" s="190">
        <f t="shared" si="142"/>
        <v>24.726919410178784</v>
      </c>
      <c r="AL154" s="190">
        <f t="shared" si="142"/>
        <v>24.953087970651016</v>
      </c>
      <c r="AM154" s="190">
        <f t="shared" si="142"/>
        <v>25.176709966003699</v>
      </c>
      <c r="AN154" s="190">
        <f t="shared" si="142"/>
        <v>25.397863975364089</v>
      </c>
      <c r="AO154" s="190">
        <f t="shared" si="142"/>
        <v>25.624335824221859</v>
      </c>
      <c r="AP154" s="190">
        <f t="shared" si="142"/>
        <v>25.848320464667367</v>
      </c>
      <c r="AQ154" s="190">
        <f t="shared" si="142"/>
        <v>26.069892791548249</v>
      </c>
      <c r="AR154" s="190">
        <f t="shared" si="142"/>
        <v>26.289124066140893</v>
      </c>
      <c r="AS154" s="190">
        <f t="shared" si="142"/>
        <v>26.506082156815886</v>
      </c>
      <c r="AT154" s="190">
        <f t="shared" si="142"/>
        <v>26.722713482062478</v>
      </c>
      <c r="AU154" s="190">
        <f t="shared" si="142"/>
        <v>26.937160603032442</v>
      </c>
      <c r="AV154" s="190">
        <f t="shared" si="142"/>
        <v>27.149483997508547</v>
      </c>
    </row>
    <row r="155" spans="1:48">
      <c r="A155" s="4" t="s">
        <v>17</v>
      </c>
      <c r="B155" s="96" t="str">
        <f t="shared" si="143"/>
        <v>CER</v>
      </c>
      <c r="C155" s="96" t="str">
        <f t="shared" si="143"/>
        <v>Commercial - Refrigeration</v>
      </c>
      <c r="D155" s="194"/>
      <c r="E155" s="194"/>
      <c r="F155" s="194"/>
      <c r="G155" s="194"/>
      <c r="H155" s="194"/>
      <c r="I155" s="193"/>
      <c r="J155" s="190">
        <f t="shared" si="141"/>
        <v>5.9132780747494111</v>
      </c>
      <c r="K155" s="190">
        <f t="shared" si="142"/>
        <v>5.7506201176474487</v>
      </c>
      <c r="L155" s="190">
        <f t="shared" si="142"/>
        <v>5.6005856473217746</v>
      </c>
      <c r="M155" s="190">
        <f t="shared" si="142"/>
        <v>5.4376640748846405</v>
      </c>
      <c r="N155" s="190">
        <f t="shared" si="142"/>
        <v>5.2679133843275068</v>
      </c>
      <c r="O155" s="190">
        <f t="shared" si="142"/>
        <v>5.0926998422610916</v>
      </c>
      <c r="P155" s="190">
        <f t="shared" si="142"/>
        <v>5.1206940516015074</v>
      </c>
      <c r="Q155" s="190">
        <f t="shared" si="142"/>
        <v>5.1484972900862633</v>
      </c>
      <c r="R155" s="190">
        <f t="shared" si="142"/>
        <v>5.1761131560524554</v>
      </c>
      <c r="S155" s="190">
        <f t="shared" si="142"/>
        <v>5.2035451378166488</v>
      </c>
      <c r="T155" s="190">
        <f t="shared" si="142"/>
        <v>5.2307966182991636</v>
      </c>
      <c r="U155" s="190">
        <f t="shared" si="142"/>
        <v>5.267697372931746</v>
      </c>
      <c r="V155" s="190">
        <f t="shared" si="142"/>
        <v>5.304276186498468</v>
      </c>
      <c r="W155" s="190">
        <f t="shared" si="142"/>
        <v>5.3405407909623408</v>
      </c>
      <c r="X155" s="190">
        <f t="shared" si="142"/>
        <v>5.3764986179441232</v>
      </c>
      <c r="Y155" s="190">
        <f t="shared" si="142"/>
        <v>5.4121568147089274</v>
      </c>
      <c r="Z155" s="190">
        <f t="shared" si="142"/>
        <v>5.4601849786234782</v>
      </c>
      <c r="AA155" s="190">
        <f t="shared" si="142"/>
        <v>5.5076881614370707</v>
      </c>
      <c r="AB155" s="190">
        <f t="shared" si="142"/>
        <v>5.55468209836648</v>
      </c>
      <c r="AC155" s="190">
        <f t="shared" si="142"/>
        <v>5.6011817646840667</v>
      </c>
      <c r="AD155" s="190">
        <f t="shared" si="142"/>
        <v>5.6472014258279328</v>
      </c>
      <c r="AE155" s="190">
        <f t="shared" si="142"/>
        <v>5.6995585840031193</v>
      </c>
      <c r="AF155" s="190">
        <f t="shared" si="142"/>
        <v>5.7513183500707363</v>
      </c>
      <c r="AG155" s="190">
        <f t="shared" si="142"/>
        <v>5.8024993989111842</v>
      </c>
      <c r="AH155" s="190">
        <f t="shared" si="142"/>
        <v>5.8531194654999652</v>
      </c>
      <c r="AI155" s="190">
        <f t="shared" si="142"/>
        <v>5.9031954094442733</v>
      </c>
      <c r="AJ155" s="190">
        <f t="shared" si="142"/>
        <v>5.9595145925847719</v>
      </c>
      <c r="AK155" s="190">
        <f t="shared" si="142"/>
        <v>6.0151729180664217</v>
      </c>
      <c r="AL155" s="190">
        <f t="shared" si="142"/>
        <v>6.0701916196403269</v>
      </c>
      <c r="AM155" s="190">
        <f t="shared" si="142"/>
        <v>6.1245908332267849</v>
      </c>
      <c r="AN155" s="190">
        <f t="shared" si="142"/>
        <v>6.1783896743100302</v>
      </c>
      <c r="AO155" s="190">
        <f t="shared" si="142"/>
        <v>6.2334821550738457</v>
      </c>
      <c r="AP155" s="190">
        <f t="shared" si="142"/>
        <v>6.2879695872088845</v>
      </c>
      <c r="AQ155" s="190">
        <f t="shared" si="142"/>
        <v>6.3418701899462464</v>
      </c>
      <c r="AR155" s="190">
        <f t="shared" si="142"/>
        <v>6.3952012985994342</v>
      </c>
      <c r="AS155" s="190">
        <f t="shared" si="142"/>
        <v>6.447979423109615</v>
      </c>
      <c r="AT155" s="190">
        <f t="shared" si="142"/>
        <v>6.500678057307117</v>
      </c>
      <c r="AU155" s="190">
        <f t="shared" si="142"/>
        <v>6.5528453529179425</v>
      </c>
      <c r="AV155" s="190">
        <f t="shared" si="142"/>
        <v>6.6044960220182292</v>
      </c>
    </row>
    <row r="156" spans="1:48">
      <c r="A156" s="4" t="s">
        <v>17</v>
      </c>
      <c r="B156" s="96" t="str">
        <f t="shared" si="143"/>
        <v>CEW</v>
      </c>
      <c r="C156" s="96" t="str">
        <f t="shared" si="143"/>
        <v>Commercial - Water Heating</v>
      </c>
      <c r="D156" s="194"/>
      <c r="E156" s="194"/>
      <c r="F156" s="194"/>
      <c r="G156" s="194"/>
      <c r="H156" s="194"/>
      <c r="I156" s="193"/>
      <c r="J156" s="190">
        <f t="shared" si="141"/>
        <v>1.9366218046150063</v>
      </c>
      <c r="K156" s="190">
        <f t="shared" si="142"/>
        <v>2.0727816342099312</v>
      </c>
      <c r="L156" s="190">
        <f t="shared" si="142"/>
        <v>2.2175736513546473</v>
      </c>
      <c r="M156" s="190">
        <f t="shared" si="142"/>
        <v>2.3618135021291229</v>
      </c>
      <c r="N156" s="190">
        <f t="shared" si="142"/>
        <v>2.5074148475949731</v>
      </c>
      <c r="O156" s="190">
        <f t="shared" si="142"/>
        <v>2.6547723439938684</v>
      </c>
      <c r="P156" s="190">
        <f t="shared" si="142"/>
        <v>2.6693654390222048</v>
      </c>
      <c r="Q156" s="190">
        <f t="shared" si="142"/>
        <v>2.6838589828965724</v>
      </c>
      <c r="R156" s="190">
        <f t="shared" si="142"/>
        <v>2.6982548513932989</v>
      </c>
      <c r="S156" s="190">
        <f t="shared" si="142"/>
        <v>2.7125548629361331</v>
      </c>
      <c r="T156" s="190">
        <f t="shared" si="142"/>
        <v>2.7267607810068415</v>
      </c>
      <c r="U156" s="190">
        <f t="shared" si="142"/>
        <v>2.7459967670074588</v>
      </c>
      <c r="V156" s="190">
        <f t="shared" si="142"/>
        <v>2.7650649284229818</v>
      </c>
      <c r="W156" s="190">
        <f t="shared" si="142"/>
        <v>2.7839692958466511</v>
      </c>
      <c r="X156" s="190">
        <f t="shared" si="142"/>
        <v>2.8027137433063638</v>
      </c>
      <c r="Y156" s="190">
        <f t="shared" si="142"/>
        <v>2.8213019965983279</v>
      </c>
      <c r="Z156" s="190">
        <f t="shared" si="142"/>
        <v>2.8463385872560143</v>
      </c>
      <c r="AA156" s="190">
        <f t="shared" si="142"/>
        <v>2.8711015106348281</v>
      </c>
      <c r="AB156" s="190">
        <f t="shared" si="142"/>
        <v>2.8955989693423492</v>
      </c>
      <c r="AC156" s="190">
        <f t="shared" si="142"/>
        <v>2.9198387698349029</v>
      </c>
      <c r="AD156" s="190">
        <f t="shared" si="142"/>
        <v>2.9438283485394794</v>
      </c>
      <c r="AE156" s="190">
        <f t="shared" si="142"/>
        <v>2.9711215996319855</v>
      </c>
      <c r="AF156" s="190">
        <f t="shared" si="142"/>
        <v>2.9981034363284311</v>
      </c>
      <c r="AG156" s="190">
        <f t="shared" si="142"/>
        <v>3.0247835936529777</v>
      </c>
      <c r="AH156" s="190">
        <f t="shared" si="142"/>
        <v>3.0511713166669772</v>
      </c>
      <c r="AI156" s="190">
        <f t="shared" si="142"/>
        <v>3.0772753941112336</v>
      </c>
      <c r="AJ156" s="190">
        <f t="shared" si="142"/>
        <v>3.1066340082979549</v>
      </c>
      <c r="AK156" s="190">
        <f t="shared" si="142"/>
        <v>3.1356481241458058</v>
      </c>
      <c r="AL156" s="190">
        <f t="shared" si="142"/>
        <v>3.164328810592075</v>
      </c>
      <c r="AM156" s="190">
        <f t="shared" si="142"/>
        <v>3.1926865642860811</v>
      </c>
      <c r="AN156" s="190">
        <f t="shared" si="142"/>
        <v>3.2207313499342591</v>
      </c>
      <c r="AO156" s="190">
        <f t="shared" si="142"/>
        <v>3.249450496717678</v>
      </c>
      <c r="AP156" s="190">
        <f t="shared" si="142"/>
        <v>3.2778542378388353</v>
      </c>
      <c r="AQ156" s="190">
        <f t="shared" si="142"/>
        <v>3.3059520707965731</v>
      </c>
      <c r="AR156" s="190">
        <f t="shared" si="142"/>
        <v>3.3337530323125288</v>
      </c>
      <c r="AS156" s="190">
        <f t="shared" si="142"/>
        <v>3.3612657288501837</v>
      </c>
      <c r="AT156" s="190">
        <f t="shared" si="142"/>
        <v>3.3887369879007982</v>
      </c>
      <c r="AU156" s="190">
        <f t="shared" si="142"/>
        <v>3.4159312655802552</v>
      </c>
      <c r="AV156" s="190">
        <f t="shared" si="142"/>
        <v>3.4428562311433812</v>
      </c>
    </row>
    <row r="157" spans="1:48">
      <c r="A157" s="4" t="s">
        <v>17</v>
      </c>
      <c r="B157" s="96" t="str">
        <f t="shared" si="143"/>
        <v>CEG</v>
      </c>
      <c r="C157" s="96" t="str">
        <f t="shared" si="143"/>
        <v>Commercial - Public lights</v>
      </c>
      <c r="D157" s="194"/>
      <c r="E157" s="194"/>
      <c r="F157" s="194"/>
      <c r="G157" s="194"/>
      <c r="H157" s="194"/>
      <c r="I157" s="193"/>
      <c r="J157" s="190">
        <f t="shared" si="141"/>
        <v>10.30055287377321</v>
      </c>
      <c r="K157" s="190">
        <f t="shared" si="142"/>
        <v>10.017213097376901</v>
      </c>
      <c r="L157" s="190">
        <f t="shared" si="142"/>
        <v>9.7558626290000774</v>
      </c>
      <c r="M157" s="190">
        <f t="shared" si="142"/>
        <v>9.4720636515203847</v>
      </c>
      <c r="N157" s="190">
        <f t="shared" si="142"/>
        <v>9.1763687862797756</v>
      </c>
      <c r="O157" s="190">
        <f t="shared" si="142"/>
        <v>8.8711579824850144</v>
      </c>
      <c r="P157" s="190">
        <f t="shared" si="142"/>
        <v>8.9199221078695032</v>
      </c>
      <c r="Q157" s="190">
        <f t="shared" si="142"/>
        <v>8.9683535742159428</v>
      </c>
      <c r="R157" s="190">
        <f t="shared" si="142"/>
        <v>9.0164586495978138</v>
      </c>
      <c r="S157" s="190">
        <f t="shared" si="142"/>
        <v>9.0642434104398664</v>
      </c>
      <c r="T157" s="190">
        <f t="shared" si="142"/>
        <v>9.1117137495733171</v>
      </c>
      <c r="U157" s="190">
        <f t="shared" si="142"/>
        <v>9.1759925082195775</v>
      </c>
      <c r="V157" s="190">
        <f t="shared" si="142"/>
        <v>9.2397104660833946</v>
      </c>
      <c r="W157" s="190">
        <f t="shared" si="142"/>
        <v>9.3028810917506846</v>
      </c>
      <c r="X157" s="190">
        <f t="shared" si="142"/>
        <v>9.3655173306303396</v>
      </c>
      <c r="Y157" s="190">
        <f t="shared" si="142"/>
        <v>9.427631632801873</v>
      </c>
      <c r="Z157" s="190">
        <f t="shared" si="142"/>
        <v>9.5112936279893798</v>
      </c>
      <c r="AA157" s="190">
        <f t="shared" si="142"/>
        <v>9.5940411396163654</v>
      </c>
      <c r="AB157" s="190">
        <f t="shared" si="142"/>
        <v>9.6759015774258383</v>
      </c>
      <c r="AC157" s="190">
        <f t="shared" si="142"/>
        <v>9.7569010273861547</v>
      </c>
      <c r="AD157" s="190">
        <f t="shared" si="142"/>
        <v>9.8370643389797188</v>
      </c>
      <c r="AE157" s="190">
        <f t="shared" si="142"/>
        <v>9.9282671657851989</v>
      </c>
      <c r="AF157" s="190">
        <f t="shared" si="142"/>
        <v>10.018429373679714</v>
      </c>
      <c r="AG157" s="190">
        <f t="shared" si="142"/>
        <v>10.107583493112621</v>
      </c>
      <c r="AH157" s="190">
        <f t="shared" si="142"/>
        <v>10.19576041727896</v>
      </c>
      <c r="AI157" s="190">
        <f t="shared" si="142"/>
        <v>10.282989514538064</v>
      </c>
      <c r="AJ157" s="190">
        <f t="shared" si="142"/>
        <v>10.381093935878171</v>
      </c>
      <c r="AK157" s="190">
        <f t="shared" si="142"/>
        <v>10.478047185368929</v>
      </c>
      <c r="AL157" s="190">
        <f t="shared" si="142"/>
        <v>10.5738862508491</v>
      </c>
      <c r="AM157" s="190">
        <f t="shared" si="142"/>
        <v>10.668646207806262</v>
      </c>
      <c r="AN157" s="190">
        <f t="shared" si="142"/>
        <v>10.762360354193531</v>
      </c>
      <c r="AO157" s="190">
        <f t="shared" si="142"/>
        <v>10.858327938312101</v>
      </c>
      <c r="AP157" s="190">
        <f t="shared" si="142"/>
        <v>10.95324156634859</v>
      </c>
      <c r="AQ157" s="190">
        <f t="shared" si="142"/>
        <v>11.047132975040372</v>
      </c>
      <c r="AR157" s="190">
        <f t="shared" si="142"/>
        <v>11.140032361396793</v>
      </c>
      <c r="AS157" s="190">
        <f t="shared" si="142"/>
        <v>11.231968484681294</v>
      </c>
      <c r="AT157" s="190">
        <f t="shared" si="142"/>
        <v>11.32376614091616</v>
      </c>
      <c r="AU157" s="190">
        <f t="shared" si="142"/>
        <v>11.414638239256274</v>
      </c>
      <c r="AV157" s="190">
        <f t="shared" si="142"/>
        <v>11.504610407198978</v>
      </c>
    </row>
    <row r="158" spans="1:48">
      <c r="A158" s="4" t="s">
        <v>17</v>
      </c>
      <c r="B158" s="96" t="str">
        <f t="shared" si="143"/>
        <v>CET</v>
      </c>
      <c r="C158" s="96" t="str">
        <f t="shared" si="143"/>
        <v>Commercial - Public Water</v>
      </c>
      <c r="D158" s="194"/>
      <c r="E158" s="194"/>
      <c r="F158" s="194"/>
      <c r="G158" s="194"/>
      <c r="H158" s="194"/>
      <c r="I158" s="193"/>
      <c r="J158" s="190">
        <f t="shared" si="141"/>
        <v>3.5593512487513528</v>
      </c>
      <c r="K158" s="190">
        <f t="shared" si="142"/>
        <v>3.4614433209638125</v>
      </c>
      <c r="L158" s="190">
        <f t="shared" si="142"/>
        <v>3.3711337883223824</v>
      </c>
      <c r="M158" s="190">
        <f t="shared" si="142"/>
        <v>3.2730671838143199</v>
      </c>
      <c r="N158" s="190">
        <f t="shared" si="142"/>
        <v>3.1708899608301726</v>
      </c>
      <c r="O158" s="190">
        <f t="shared" ref="K158:AV159" si="145">O99*O$34/1000</f>
        <v>3.0654245097100388</v>
      </c>
      <c r="P158" s="190">
        <f t="shared" si="145"/>
        <v>3.0822749305280785</v>
      </c>
      <c r="Q158" s="190">
        <f t="shared" si="145"/>
        <v>3.0990104011704336</v>
      </c>
      <c r="R158" s="190">
        <f t="shared" si="145"/>
        <v>3.1156330875669775</v>
      </c>
      <c r="S158" s="190">
        <f t="shared" si="145"/>
        <v>3.1321450894234504</v>
      </c>
      <c r="T158" s="190">
        <f t="shared" si="145"/>
        <v>3.1485484430049366</v>
      </c>
      <c r="U158" s="190">
        <f t="shared" si="145"/>
        <v>3.1707599381216975</v>
      </c>
      <c r="V158" s="190">
        <f t="shared" si="145"/>
        <v>3.1927776487892396</v>
      </c>
      <c r="W158" s="190">
        <f t="shared" si="145"/>
        <v>3.2146062290711557</v>
      </c>
      <c r="X158" s="190">
        <f t="shared" si="145"/>
        <v>3.2362501522474587</v>
      </c>
      <c r="Y158" s="190">
        <f t="shared" si="145"/>
        <v>3.2577137204373252</v>
      </c>
      <c r="Z158" s="190">
        <f t="shared" si="145"/>
        <v>3.2866230839144919</v>
      </c>
      <c r="AA158" s="190">
        <f t="shared" si="145"/>
        <v>3.3152164480231785</v>
      </c>
      <c r="AB158" s="190">
        <f t="shared" si="145"/>
        <v>3.3435032841873187</v>
      </c>
      <c r="AC158" s="190">
        <f t="shared" si="145"/>
        <v>3.3714926064011288</v>
      </c>
      <c r="AD158" s="190">
        <f t="shared" si="145"/>
        <v>3.3991930013916818</v>
      </c>
      <c r="AE158" s="190">
        <f t="shared" si="145"/>
        <v>3.4307080957228102</v>
      </c>
      <c r="AF158" s="190">
        <f t="shared" si="145"/>
        <v>3.4618636046738516</v>
      </c>
      <c r="AG158" s="190">
        <f t="shared" si="145"/>
        <v>3.4926707691264336</v>
      </c>
      <c r="AH158" s="190">
        <f t="shared" si="145"/>
        <v>3.5231402642097152</v>
      </c>
      <c r="AI158" s="190">
        <f t="shared" si="145"/>
        <v>3.5532822381465876</v>
      </c>
      <c r="AJ158" s="190">
        <f t="shared" si="145"/>
        <v>3.5871821752552076</v>
      </c>
      <c r="AK158" s="190">
        <f t="shared" si="145"/>
        <v>3.6206843254673666</v>
      </c>
      <c r="AL158" s="190">
        <f t="shared" si="145"/>
        <v>3.6538014699135219</v>
      </c>
      <c r="AM158" s="190">
        <f t="shared" si="145"/>
        <v>3.6865457289120731</v>
      </c>
      <c r="AN158" s="190">
        <f t="shared" si="145"/>
        <v>3.7189286085552125</v>
      </c>
      <c r="AO158" s="190">
        <f t="shared" si="145"/>
        <v>3.752090162557018</v>
      </c>
      <c r="AP158" s="190">
        <f t="shared" si="145"/>
        <v>3.7848875225254686</v>
      </c>
      <c r="AQ158" s="190">
        <f t="shared" si="145"/>
        <v>3.8173316550753849</v>
      </c>
      <c r="AR158" s="190">
        <f t="shared" si="145"/>
        <v>3.849432994769284</v>
      </c>
      <c r="AS158" s="190">
        <f t="shared" si="145"/>
        <v>3.8812014793572556</v>
      </c>
      <c r="AT158" s="190">
        <f t="shared" si="145"/>
        <v>3.9129221167207064</v>
      </c>
      <c r="AU158" s="190">
        <f t="shared" si="145"/>
        <v>3.9443229279846417</v>
      </c>
      <c r="AV158" s="190">
        <f t="shared" si="145"/>
        <v>3.9754127687188334</v>
      </c>
    </row>
    <row r="159" spans="1:48">
      <c r="A159" s="4" t="s">
        <v>17</v>
      </c>
      <c r="B159" s="96" t="str">
        <f t="shared" si="143"/>
        <v>CEO</v>
      </c>
      <c r="C159" s="96" t="str">
        <f t="shared" si="143"/>
        <v>Commercial - Other</v>
      </c>
      <c r="D159" s="194"/>
      <c r="E159" s="194"/>
      <c r="F159" s="194"/>
      <c r="G159" s="194"/>
      <c r="H159" s="194"/>
      <c r="I159" s="193"/>
      <c r="J159" s="190">
        <f t="shared" si="141"/>
        <v>3.7520368714157861</v>
      </c>
      <c r="K159" s="190">
        <f t="shared" si="145"/>
        <v>3.6811673024591167</v>
      </c>
      <c r="L159" s="190">
        <f t="shared" si="145"/>
        <v>3.6190753326480816</v>
      </c>
      <c r="M159" s="190">
        <f t="shared" si="145"/>
        <v>3.5494326123605799</v>
      </c>
      <c r="N159" s="190">
        <f t="shared" si="145"/>
        <v>3.476070985696551</v>
      </c>
      <c r="O159" s="190">
        <f t="shared" si="145"/>
        <v>3.3998483491588085</v>
      </c>
      <c r="P159" s="190">
        <f t="shared" si="145"/>
        <v>3.4185370740709295</v>
      </c>
      <c r="Q159" s="190">
        <f t="shared" si="145"/>
        <v>3.4370983082672288</v>
      </c>
      <c r="R159" s="190">
        <f t="shared" si="145"/>
        <v>3.4555344539706572</v>
      </c>
      <c r="S159" s="190">
        <f t="shared" si="145"/>
        <v>3.4738478399552783</v>
      </c>
      <c r="T159" s="190">
        <f t="shared" si="145"/>
        <v>3.4920407246334135</v>
      </c>
      <c r="U159" s="190">
        <f t="shared" si="145"/>
        <v>3.5166753926103498</v>
      </c>
      <c r="V159" s="190">
        <f t="shared" si="145"/>
        <v>3.5410951351380753</v>
      </c>
      <c r="W159" s="190">
        <f t="shared" si="145"/>
        <v>3.5653051140173053</v>
      </c>
      <c r="X159" s="190">
        <f t="shared" si="145"/>
        <v>3.5893102905425081</v>
      </c>
      <c r="Y159" s="190">
        <f t="shared" si="145"/>
        <v>3.6131154361744513</v>
      </c>
      <c r="Z159" s="190">
        <f t="shared" si="145"/>
        <v>3.6451786794158818</v>
      </c>
      <c r="AA159" s="190">
        <f t="shared" si="145"/>
        <v>3.6768914491982998</v>
      </c>
      <c r="AB159" s="190">
        <f t="shared" si="145"/>
        <v>3.7082642502348109</v>
      </c>
      <c r="AC159" s="190">
        <f t="shared" si="145"/>
        <v>3.7393070799053079</v>
      </c>
      <c r="AD159" s="190">
        <f t="shared" si="145"/>
        <v>3.7700294617096435</v>
      </c>
      <c r="AE159" s="190">
        <f t="shared" si="145"/>
        <v>3.8049827091622799</v>
      </c>
      <c r="AF159" s="190">
        <f t="shared" si="145"/>
        <v>3.8395371421091276</v>
      </c>
      <c r="AG159" s="190">
        <f t="shared" si="145"/>
        <v>3.8737052277607562</v>
      </c>
      <c r="AH159" s="190">
        <f t="shared" si="145"/>
        <v>3.9074988058542504</v>
      </c>
      <c r="AI159" s="190">
        <f t="shared" si="145"/>
        <v>3.9409291317373554</v>
      </c>
      <c r="AJ159" s="190">
        <f t="shared" si="145"/>
        <v>3.9785273974425617</v>
      </c>
      <c r="AK159" s="190">
        <f t="shared" si="145"/>
        <v>4.0156844795143218</v>
      </c>
      <c r="AL159" s="190">
        <f t="shared" si="145"/>
        <v>4.052414553446158</v>
      </c>
      <c r="AM159" s="190">
        <f t="shared" si="145"/>
        <v>4.0887310618279562</v>
      </c>
      <c r="AN159" s="190">
        <f t="shared" si="145"/>
        <v>4.124646766014112</v>
      </c>
      <c r="AO159" s="190">
        <f t="shared" si="145"/>
        <v>4.1614260943816674</v>
      </c>
      <c r="AP159" s="190">
        <f t="shared" si="145"/>
        <v>4.1978014968071058</v>
      </c>
      <c r="AQ159" s="190">
        <f t="shared" si="145"/>
        <v>4.2337851363129282</v>
      </c>
      <c r="AR159" s="190">
        <f t="shared" si="145"/>
        <v>4.2693885858248581</v>
      </c>
      <c r="AS159" s="190">
        <f t="shared" si="145"/>
        <v>4.304622867256211</v>
      </c>
      <c r="AT159" s="190">
        <f t="shared" si="145"/>
        <v>4.3398040815489729</v>
      </c>
      <c r="AU159" s="190">
        <f t="shared" si="145"/>
        <v>4.3746305781727752</v>
      </c>
      <c r="AV159" s="190">
        <f t="shared" si="145"/>
        <v>4.4091121787996821</v>
      </c>
    </row>
    <row r="160" spans="1:48">
      <c r="A160" s="4" t="s">
        <v>17</v>
      </c>
      <c r="B160" s="194"/>
      <c r="C160" s="194"/>
      <c r="D160" s="194"/>
      <c r="E160" s="194"/>
      <c r="F160" s="194"/>
      <c r="G160" s="194"/>
      <c r="H160" s="194"/>
      <c r="I160" s="193"/>
      <c r="K160" s="96"/>
    </row>
    <row r="161" spans="1:48" ht="15" thickBot="1">
      <c r="A161" s="4" t="s">
        <v>17</v>
      </c>
      <c r="B161" s="94" t="s">
        <v>514</v>
      </c>
      <c r="C161" s="94"/>
      <c r="D161" s="94"/>
      <c r="E161" s="94"/>
      <c r="F161" s="94"/>
      <c r="G161" s="94"/>
      <c r="H161" s="94"/>
      <c r="I161" s="186"/>
      <c r="K161" s="96"/>
    </row>
    <row r="162" spans="1:48">
      <c r="A162" s="4" t="s">
        <v>17</v>
      </c>
      <c r="B162" s="96" t="str">
        <f t="shared" ref="B162:B170" si="146">B70</f>
        <v>CEC</v>
      </c>
      <c r="C162" s="96" t="str">
        <f t="shared" ref="C162:C170" si="147">C138</f>
        <v>Commercial - Cooling</v>
      </c>
      <c r="E162" s="123"/>
      <c r="F162" s="123"/>
      <c r="I162" s="181"/>
      <c r="J162" s="190">
        <f t="shared" ref="J162:AV162" si="148">J$35*J70/1000</f>
        <v>111.73151548310749</v>
      </c>
      <c r="K162" s="190">
        <f t="shared" si="148"/>
        <v>108.65808991058211</v>
      </c>
      <c r="L162" s="190">
        <f t="shared" si="148"/>
        <v>105.82318539023221</v>
      </c>
      <c r="M162" s="190">
        <f t="shared" si="148"/>
        <v>102.74477880032001</v>
      </c>
      <c r="N162" s="190">
        <f t="shared" si="148"/>
        <v>99.537335877714625</v>
      </c>
      <c r="O162" s="190">
        <f t="shared" si="148"/>
        <v>96.226672259198224</v>
      </c>
      <c r="P162" s="190">
        <f t="shared" si="148"/>
        <v>95.264405536606233</v>
      </c>
      <c r="Q162" s="190">
        <f t="shared" si="148"/>
        <v>94.30213881401427</v>
      </c>
      <c r="R162" s="190">
        <f t="shared" si="148"/>
        <v>93.339872091422279</v>
      </c>
      <c r="S162" s="190">
        <f t="shared" si="148"/>
        <v>92.377605368830288</v>
      </c>
      <c r="T162" s="190">
        <f t="shared" si="148"/>
        <v>91.415338646238311</v>
      </c>
      <c r="U162" s="190">
        <f t="shared" si="148"/>
        <v>90.45307192364632</v>
      </c>
      <c r="V162" s="190">
        <f t="shared" si="148"/>
        <v>89.490805201054343</v>
      </c>
      <c r="W162" s="190">
        <f t="shared" si="148"/>
        <v>88.528538478462366</v>
      </c>
      <c r="X162" s="190">
        <f t="shared" si="148"/>
        <v>87.566271755870375</v>
      </c>
      <c r="Y162" s="190">
        <f t="shared" si="148"/>
        <v>86.604005033278384</v>
      </c>
      <c r="Z162" s="190">
        <f t="shared" si="148"/>
        <v>85.641738310686421</v>
      </c>
      <c r="AA162" s="190">
        <f t="shared" si="148"/>
        <v>84.679471588094444</v>
      </c>
      <c r="AB162" s="190">
        <f t="shared" si="148"/>
        <v>83.717204865502438</v>
      </c>
      <c r="AC162" s="190">
        <f t="shared" si="148"/>
        <v>82.754938142910447</v>
      </c>
      <c r="AD162" s="190">
        <f t="shared" si="148"/>
        <v>81.792671420318484</v>
      </c>
      <c r="AE162" s="190">
        <f t="shared" si="148"/>
        <v>80.830404697726493</v>
      </c>
      <c r="AF162" s="190">
        <f t="shared" si="148"/>
        <v>79.868137975134516</v>
      </c>
      <c r="AG162" s="190">
        <f t="shared" si="148"/>
        <v>78.905871252542525</v>
      </c>
      <c r="AH162" s="190">
        <f t="shared" si="148"/>
        <v>77.943604529950534</v>
      </c>
      <c r="AI162" s="190">
        <f t="shared" si="148"/>
        <v>76.981337807358557</v>
      </c>
      <c r="AJ162" s="190">
        <f t="shared" si="148"/>
        <v>76.01907108476658</v>
      </c>
      <c r="AK162" s="190">
        <f t="shared" si="148"/>
        <v>75.056804362174603</v>
      </c>
      <c r="AL162" s="190">
        <f t="shared" si="148"/>
        <v>74.094537639582612</v>
      </c>
      <c r="AM162" s="190">
        <f t="shared" si="148"/>
        <v>73.132270916990635</v>
      </c>
      <c r="AN162" s="190">
        <f t="shared" si="148"/>
        <v>72.170004194398643</v>
      </c>
      <c r="AO162" s="190">
        <f t="shared" si="148"/>
        <v>71.207737471806666</v>
      </c>
      <c r="AP162" s="190">
        <f t="shared" si="148"/>
        <v>70.245470749214689</v>
      </c>
      <c r="AQ162" s="190">
        <f t="shared" si="148"/>
        <v>69.283204026622698</v>
      </c>
      <c r="AR162" s="190">
        <f t="shared" si="148"/>
        <v>68.320937304030707</v>
      </c>
      <c r="AS162" s="190">
        <f t="shared" si="148"/>
        <v>67.35867058143873</v>
      </c>
      <c r="AT162" s="190">
        <f t="shared" si="148"/>
        <v>66.396403858846739</v>
      </c>
      <c r="AU162" s="190">
        <f t="shared" si="148"/>
        <v>65.434137136254762</v>
      </c>
      <c r="AV162" s="190">
        <f t="shared" si="148"/>
        <v>64.471870413662785</v>
      </c>
    </row>
    <row r="163" spans="1:48">
      <c r="A163" s="4" t="s">
        <v>17</v>
      </c>
      <c r="B163" s="96" t="str">
        <f t="shared" si="146"/>
        <v>CEH</v>
      </c>
      <c r="C163" s="96" t="str">
        <f t="shared" si="147"/>
        <v>Commercial - Space Heating</v>
      </c>
      <c r="E163" s="123"/>
      <c r="F163" s="123"/>
      <c r="I163" s="181"/>
      <c r="J163" s="190">
        <f t="shared" ref="J163:AV163" si="149">J$35*J71/1000</f>
        <v>6.2814039260015191</v>
      </c>
      <c r="K163" s="190">
        <f t="shared" si="149"/>
        <v>6.8316917795204635</v>
      </c>
      <c r="L163" s="190">
        <f t="shared" si="149"/>
        <v>7.4125579761793414</v>
      </c>
      <c r="M163" s="190">
        <f t="shared" si="149"/>
        <v>7.9937373885971876</v>
      </c>
      <c r="N163" s="190">
        <f t="shared" si="149"/>
        <v>8.581396594464497</v>
      </c>
      <c r="O163" s="190">
        <f t="shared" si="149"/>
        <v>9.1767853690947057</v>
      </c>
      <c r="P163" s="190">
        <f t="shared" si="149"/>
        <v>9.0850175154037576</v>
      </c>
      <c r="Q163" s="190">
        <f t="shared" si="149"/>
        <v>8.9932496617128113</v>
      </c>
      <c r="R163" s="190">
        <f t="shared" si="149"/>
        <v>8.9014818080218632</v>
      </c>
      <c r="S163" s="190">
        <f t="shared" si="149"/>
        <v>8.8097139543309169</v>
      </c>
      <c r="T163" s="190">
        <f t="shared" si="149"/>
        <v>8.7179461006399688</v>
      </c>
      <c r="U163" s="190">
        <f t="shared" si="149"/>
        <v>8.6261782469490207</v>
      </c>
      <c r="V163" s="190">
        <f t="shared" si="149"/>
        <v>8.5344103932580744</v>
      </c>
      <c r="W163" s="190">
        <f t="shared" si="149"/>
        <v>8.4426425395671263</v>
      </c>
      <c r="X163" s="190">
        <f t="shared" si="149"/>
        <v>8.35087468587618</v>
      </c>
      <c r="Y163" s="190">
        <f t="shared" si="149"/>
        <v>8.2591068321852319</v>
      </c>
      <c r="Z163" s="190">
        <f t="shared" si="149"/>
        <v>8.1673389784942874</v>
      </c>
      <c r="AA163" s="190">
        <f t="shared" si="149"/>
        <v>8.075571124803341</v>
      </c>
      <c r="AB163" s="190">
        <f t="shared" si="149"/>
        <v>7.9838032711123921</v>
      </c>
      <c r="AC163" s="190">
        <f t="shared" si="149"/>
        <v>7.8920354174214449</v>
      </c>
      <c r="AD163" s="190">
        <f t="shared" si="149"/>
        <v>7.8002675637304986</v>
      </c>
      <c r="AE163" s="190">
        <f t="shared" si="149"/>
        <v>7.7084997100395505</v>
      </c>
      <c r="AF163" s="190">
        <f t="shared" si="149"/>
        <v>7.6167318563486042</v>
      </c>
      <c r="AG163" s="190">
        <f t="shared" si="149"/>
        <v>7.5249640026576561</v>
      </c>
      <c r="AH163" s="190">
        <f t="shared" si="149"/>
        <v>7.4331961489667089</v>
      </c>
      <c r="AI163" s="190">
        <f t="shared" si="149"/>
        <v>7.3414282952757626</v>
      </c>
      <c r="AJ163" s="190">
        <f t="shared" si="149"/>
        <v>7.2496604415848154</v>
      </c>
      <c r="AK163" s="190">
        <f t="shared" si="149"/>
        <v>7.1578925878938682</v>
      </c>
      <c r="AL163" s="190">
        <f t="shared" si="149"/>
        <v>7.0661247342029219</v>
      </c>
      <c r="AM163" s="190">
        <f t="shared" si="149"/>
        <v>6.9743568805119738</v>
      </c>
      <c r="AN163" s="190">
        <f t="shared" si="149"/>
        <v>6.8825890268210257</v>
      </c>
      <c r="AO163" s="190">
        <f t="shared" si="149"/>
        <v>6.7908211731300803</v>
      </c>
      <c r="AP163" s="190">
        <f t="shared" si="149"/>
        <v>6.6990533194391322</v>
      </c>
      <c r="AQ163" s="190">
        <f t="shared" si="149"/>
        <v>6.607285465748185</v>
      </c>
      <c r="AR163" s="190">
        <f t="shared" si="149"/>
        <v>6.5155176120572378</v>
      </c>
      <c r="AS163" s="190">
        <f t="shared" si="149"/>
        <v>6.4237497583662906</v>
      </c>
      <c r="AT163" s="190">
        <f t="shared" si="149"/>
        <v>6.3319819046753425</v>
      </c>
      <c r="AU163" s="190">
        <f t="shared" si="149"/>
        <v>6.2402140509843971</v>
      </c>
      <c r="AV163" s="190">
        <f t="shared" si="149"/>
        <v>6.1484461972934499</v>
      </c>
    </row>
    <row r="164" spans="1:48">
      <c r="A164" s="4" t="s">
        <v>17</v>
      </c>
      <c r="B164" s="96" t="str">
        <f t="shared" si="146"/>
        <v>CEK</v>
      </c>
      <c r="C164" s="96" t="str">
        <f t="shared" si="147"/>
        <v>Commercial - Cooking</v>
      </c>
      <c r="E164" s="123"/>
      <c r="F164" s="123"/>
      <c r="I164" s="181"/>
      <c r="J164" s="190">
        <f t="shared" ref="J164:AV164" si="150">J$35*J72/1000</f>
        <v>7.9155998052238097</v>
      </c>
      <c r="K164" s="190">
        <f t="shared" si="150"/>
        <v>7.706808902540585</v>
      </c>
      <c r="L164" s="190">
        <f t="shared" si="150"/>
        <v>7.5151283865043332</v>
      </c>
      <c r="M164" s="190">
        <f t="shared" si="150"/>
        <v>7.3063702400552897</v>
      </c>
      <c r="N164" s="190">
        <f t="shared" si="150"/>
        <v>7.0886404462187294</v>
      </c>
      <c r="O164" s="190">
        <f t="shared" si="150"/>
        <v>6.8637654158832637</v>
      </c>
      <c r="P164" s="190">
        <f t="shared" si="150"/>
        <v>6.7951277617244301</v>
      </c>
      <c r="Q164" s="190">
        <f t="shared" si="150"/>
        <v>6.7264901075655992</v>
      </c>
      <c r="R164" s="190">
        <f t="shared" si="150"/>
        <v>6.6578524534067656</v>
      </c>
      <c r="S164" s="190">
        <f t="shared" si="150"/>
        <v>6.5892147992479329</v>
      </c>
      <c r="T164" s="190">
        <f t="shared" si="150"/>
        <v>6.5205771450891001</v>
      </c>
      <c r="U164" s="190">
        <f t="shared" si="150"/>
        <v>6.4519394909302674</v>
      </c>
      <c r="V164" s="190">
        <f t="shared" si="150"/>
        <v>6.3833018367714347</v>
      </c>
      <c r="W164" s="190">
        <f t="shared" si="150"/>
        <v>6.3146641826126011</v>
      </c>
      <c r="X164" s="190">
        <f t="shared" si="150"/>
        <v>6.2460265284537693</v>
      </c>
      <c r="Y164" s="190">
        <f t="shared" si="150"/>
        <v>6.1773888742949365</v>
      </c>
      <c r="Z164" s="190">
        <f t="shared" si="150"/>
        <v>6.1087512201361038</v>
      </c>
      <c r="AA164" s="190">
        <f t="shared" si="150"/>
        <v>6.040113565977272</v>
      </c>
      <c r="AB164" s="190">
        <f t="shared" si="150"/>
        <v>5.9714759118184393</v>
      </c>
      <c r="AC164" s="190">
        <f t="shared" si="150"/>
        <v>5.9028382576596057</v>
      </c>
      <c r="AD164" s="190">
        <f t="shared" si="150"/>
        <v>5.8342006035007739</v>
      </c>
      <c r="AE164" s="190">
        <f t="shared" si="150"/>
        <v>5.7655629493419402</v>
      </c>
      <c r="AF164" s="190">
        <f t="shared" si="150"/>
        <v>5.6969252951831084</v>
      </c>
      <c r="AG164" s="190">
        <f t="shared" si="150"/>
        <v>5.6282876410242748</v>
      </c>
      <c r="AH164" s="190">
        <f t="shared" si="150"/>
        <v>5.5596499868654421</v>
      </c>
      <c r="AI164" s="190">
        <f t="shared" si="150"/>
        <v>5.4910123327066094</v>
      </c>
      <c r="AJ164" s="190">
        <f t="shared" si="150"/>
        <v>5.4223746785477767</v>
      </c>
      <c r="AK164" s="190">
        <f t="shared" si="150"/>
        <v>5.3537370243889448</v>
      </c>
      <c r="AL164" s="190">
        <f t="shared" si="150"/>
        <v>5.2850993702301121</v>
      </c>
      <c r="AM164" s="190">
        <f t="shared" si="150"/>
        <v>5.2164617160712794</v>
      </c>
      <c r="AN164" s="190">
        <f t="shared" si="150"/>
        <v>5.1478240619124467</v>
      </c>
      <c r="AO164" s="190">
        <f t="shared" si="150"/>
        <v>5.079186407753614</v>
      </c>
      <c r="AP164" s="190">
        <f t="shared" si="150"/>
        <v>5.0105487535947804</v>
      </c>
      <c r="AQ164" s="190">
        <f t="shared" si="150"/>
        <v>4.9419110994359476</v>
      </c>
      <c r="AR164" s="190">
        <f t="shared" si="150"/>
        <v>4.8732734452771158</v>
      </c>
      <c r="AS164" s="190">
        <f t="shared" si="150"/>
        <v>4.8046357911182822</v>
      </c>
      <c r="AT164" s="190">
        <f t="shared" si="150"/>
        <v>4.7359981369594486</v>
      </c>
      <c r="AU164" s="190">
        <f t="shared" si="150"/>
        <v>4.6673604828006177</v>
      </c>
      <c r="AV164" s="190">
        <f t="shared" si="150"/>
        <v>4.5987228286417849</v>
      </c>
    </row>
    <row r="165" spans="1:48">
      <c r="A165" s="4" t="s">
        <v>17</v>
      </c>
      <c r="B165" s="96" t="str">
        <f t="shared" si="146"/>
        <v>CEL</v>
      </c>
      <c r="C165" s="96" t="str">
        <f t="shared" si="147"/>
        <v>Commercial - Lighting</v>
      </c>
      <c r="E165" s="123"/>
      <c r="F165" s="123"/>
      <c r="I165" s="181"/>
      <c r="J165" s="190">
        <f t="shared" ref="J165:AV165" si="151">J$35*J73/1000</f>
        <v>97.232217524551132</v>
      </c>
      <c r="K165" s="190">
        <f t="shared" si="151"/>
        <v>94.557627615686172</v>
      </c>
      <c r="L165" s="190">
        <f t="shared" si="151"/>
        <v>92.090606097252859</v>
      </c>
      <c r="M165" s="190">
        <f t="shared" si="151"/>
        <v>89.411681553133448</v>
      </c>
      <c r="N165" s="190">
        <f t="shared" si="151"/>
        <v>86.620465604796124</v>
      </c>
      <c r="O165" s="190">
        <f t="shared" si="151"/>
        <v>83.739423817129023</v>
      </c>
      <c r="P165" s="190">
        <f t="shared" si="151"/>
        <v>82.902029578957737</v>
      </c>
      <c r="Q165" s="190">
        <f t="shared" si="151"/>
        <v>82.064635340786452</v>
      </c>
      <c r="R165" s="190">
        <f t="shared" si="151"/>
        <v>81.227241102615153</v>
      </c>
      <c r="S165" s="190">
        <f t="shared" si="151"/>
        <v>80.389846864443868</v>
      </c>
      <c r="T165" s="190">
        <f t="shared" si="151"/>
        <v>79.552452626272569</v>
      </c>
      <c r="U165" s="190">
        <f t="shared" si="151"/>
        <v>78.715058388101269</v>
      </c>
      <c r="V165" s="190">
        <f t="shared" si="151"/>
        <v>77.877664149929984</v>
      </c>
      <c r="W165" s="190">
        <f t="shared" si="151"/>
        <v>77.040269911758685</v>
      </c>
      <c r="X165" s="190">
        <f t="shared" si="151"/>
        <v>76.2028756735874</v>
      </c>
      <c r="Y165" s="190">
        <f t="shared" si="151"/>
        <v>75.3654814354161</v>
      </c>
      <c r="Z165" s="190">
        <f t="shared" si="151"/>
        <v>74.528087197244815</v>
      </c>
      <c r="AA165" s="190">
        <f t="shared" si="151"/>
        <v>73.690692959073544</v>
      </c>
      <c r="AB165" s="190">
        <f t="shared" si="151"/>
        <v>72.853298720902245</v>
      </c>
      <c r="AC165" s="190">
        <f t="shared" si="151"/>
        <v>72.01590448273096</v>
      </c>
      <c r="AD165" s="190">
        <f t="shared" si="151"/>
        <v>71.178510244559661</v>
      </c>
      <c r="AE165" s="190">
        <f t="shared" si="151"/>
        <v>70.341116006388376</v>
      </c>
      <c r="AF165" s="190">
        <f t="shared" si="151"/>
        <v>69.50372176821709</v>
      </c>
      <c r="AG165" s="190">
        <f t="shared" si="151"/>
        <v>68.666327530045791</v>
      </c>
      <c r="AH165" s="190">
        <f t="shared" si="151"/>
        <v>67.828933291874492</v>
      </c>
      <c r="AI165" s="190">
        <f t="shared" si="151"/>
        <v>66.991539053703207</v>
      </c>
      <c r="AJ165" s="190">
        <f t="shared" si="151"/>
        <v>66.154144815531907</v>
      </c>
      <c r="AK165" s="190">
        <f t="shared" si="151"/>
        <v>65.316750577360622</v>
      </c>
      <c r="AL165" s="190">
        <f t="shared" si="151"/>
        <v>64.479356339189337</v>
      </c>
      <c r="AM165" s="190">
        <f t="shared" si="151"/>
        <v>63.641962101018045</v>
      </c>
      <c r="AN165" s="190">
        <f t="shared" si="151"/>
        <v>62.804567862846753</v>
      </c>
      <c r="AO165" s="190">
        <f t="shared" si="151"/>
        <v>61.967173624675468</v>
      </c>
      <c r="AP165" s="190">
        <f t="shared" si="151"/>
        <v>61.129779386504168</v>
      </c>
      <c r="AQ165" s="190">
        <f t="shared" si="151"/>
        <v>60.292385148332869</v>
      </c>
      <c r="AR165" s="190">
        <f t="shared" si="151"/>
        <v>59.454990910161584</v>
      </c>
      <c r="AS165" s="190">
        <f t="shared" si="151"/>
        <v>58.617596671990292</v>
      </c>
      <c r="AT165" s="190">
        <f t="shared" si="151"/>
        <v>57.780202433818992</v>
      </c>
      <c r="AU165" s="190">
        <f t="shared" si="151"/>
        <v>56.942808195647714</v>
      </c>
      <c r="AV165" s="190">
        <f t="shared" si="151"/>
        <v>56.105413957476429</v>
      </c>
    </row>
    <row r="166" spans="1:48">
      <c r="A166" s="4" t="s">
        <v>17</v>
      </c>
      <c r="B166" s="96" t="str">
        <f t="shared" si="146"/>
        <v>CER</v>
      </c>
      <c r="C166" s="96" t="str">
        <f t="shared" si="147"/>
        <v>Commercial - Refrigeration</v>
      </c>
      <c r="E166" s="123"/>
      <c r="F166" s="123"/>
      <c r="I166" s="181"/>
      <c r="J166" s="190">
        <f t="shared" ref="J166:AV166" si="152">J$35*J74/1000</f>
        <v>23.653112298997645</v>
      </c>
      <c r="K166" s="190">
        <f t="shared" si="152"/>
        <v>23.002480470589791</v>
      </c>
      <c r="L166" s="190">
        <f t="shared" si="152"/>
        <v>22.402342589287098</v>
      </c>
      <c r="M166" s="190">
        <f t="shared" si="152"/>
        <v>21.750656299538559</v>
      </c>
      <c r="N166" s="190">
        <f t="shared" si="152"/>
        <v>21.071653537310027</v>
      </c>
      <c r="O166" s="190">
        <f t="shared" si="152"/>
        <v>20.370799369044367</v>
      </c>
      <c r="P166" s="190">
        <f t="shared" si="152"/>
        <v>20.16709137535392</v>
      </c>
      <c r="Q166" s="190">
        <f t="shared" si="152"/>
        <v>19.96338338166348</v>
      </c>
      <c r="R166" s="190">
        <f t="shared" si="152"/>
        <v>19.759675387973033</v>
      </c>
      <c r="S166" s="190">
        <f t="shared" si="152"/>
        <v>19.55596739428259</v>
      </c>
      <c r="T166" s="190">
        <f t="shared" si="152"/>
        <v>19.352259400592146</v>
      </c>
      <c r="U166" s="190">
        <f t="shared" si="152"/>
        <v>19.148551406901699</v>
      </c>
      <c r="V166" s="190">
        <f t="shared" si="152"/>
        <v>18.94484341321126</v>
      </c>
      <c r="W166" s="190">
        <f t="shared" si="152"/>
        <v>18.741135419520813</v>
      </c>
      <c r="X166" s="190">
        <f t="shared" si="152"/>
        <v>18.537427425830369</v>
      </c>
      <c r="Y166" s="190">
        <f t="shared" si="152"/>
        <v>18.333719432139926</v>
      </c>
      <c r="Z166" s="190">
        <f t="shared" si="152"/>
        <v>18.130011438449486</v>
      </c>
      <c r="AA166" s="190">
        <f t="shared" si="152"/>
        <v>17.926303444759039</v>
      </c>
      <c r="AB166" s="190">
        <f t="shared" si="152"/>
        <v>17.722595451068596</v>
      </c>
      <c r="AC166" s="190">
        <f t="shared" si="152"/>
        <v>17.518887457378149</v>
      </c>
      <c r="AD166" s="190">
        <f t="shared" si="152"/>
        <v>17.315179463687709</v>
      </c>
      <c r="AE166" s="190">
        <f t="shared" si="152"/>
        <v>17.111471469997266</v>
      </c>
      <c r="AF166" s="190">
        <f t="shared" si="152"/>
        <v>16.907763476306819</v>
      </c>
      <c r="AG166" s="190">
        <f t="shared" si="152"/>
        <v>16.704055482616376</v>
      </c>
      <c r="AH166" s="190">
        <f t="shared" si="152"/>
        <v>16.500347488925932</v>
      </c>
      <c r="AI166" s="190">
        <f t="shared" si="152"/>
        <v>16.296639495235489</v>
      </c>
      <c r="AJ166" s="190">
        <f t="shared" si="152"/>
        <v>16.092931501545042</v>
      </c>
      <c r="AK166" s="190">
        <f t="shared" si="152"/>
        <v>15.889223507854602</v>
      </c>
      <c r="AL166" s="190">
        <f t="shared" si="152"/>
        <v>15.685515514164159</v>
      </c>
      <c r="AM166" s="190">
        <f t="shared" si="152"/>
        <v>15.481807520473714</v>
      </c>
      <c r="AN166" s="190">
        <f t="shared" si="152"/>
        <v>15.278099526783269</v>
      </c>
      <c r="AO166" s="190">
        <f t="shared" si="152"/>
        <v>15.074391533092827</v>
      </c>
      <c r="AP166" s="190">
        <f t="shared" si="152"/>
        <v>14.870683539402382</v>
      </c>
      <c r="AQ166" s="190">
        <f t="shared" si="152"/>
        <v>14.666975545711937</v>
      </c>
      <c r="AR166" s="190">
        <f t="shared" si="152"/>
        <v>14.463267552021494</v>
      </c>
      <c r="AS166" s="190">
        <f t="shared" si="152"/>
        <v>14.25955955833105</v>
      </c>
      <c r="AT166" s="190">
        <f t="shared" si="152"/>
        <v>14.055851564640605</v>
      </c>
      <c r="AU166" s="190">
        <f t="shared" si="152"/>
        <v>13.852143570950162</v>
      </c>
      <c r="AV166" s="190">
        <f t="shared" si="152"/>
        <v>13.648435577259718</v>
      </c>
    </row>
    <row r="167" spans="1:48">
      <c r="A167" s="4" t="s">
        <v>17</v>
      </c>
      <c r="B167" s="96" t="str">
        <f t="shared" si="146"/>
        <v>CEW</v>
      </c>
      <c r="C167" s="96" t="str">
        <f t="shared" si="147"/>
        <v>Commercial - Water Heating</v>
      </c>
      <c r="E167" s="123"/>
      <c r="F167" s="123"/>
      <c r="I167" s="181"/>
      <c r="J167" s="190">
        <f t="shared" ref="J167:AV167" si="153">J$35*J75/1000</f>
        <v>7.7464872184600253</v>
      </c>
      <c r="K167" s="190">
        <f t="shared" si="153"/>
        <v>8.2911265368397249</v>
      </c>
      <c r="L167" s="190">
        <f t="shared" si="153"/>
        <v>8.8702946054185876</v>
      </c>
      <c r="M167" s="190">
        <f t="shared" si="153"/>
        <v>9.4472540085164898</v>
      </c>
      <c r="N167" s="190">
        <f t="shared" si="153"/>
        <v>10.029659390379893</v>
      </c>
      <c r="O167" s="190">
        <f t="shared" si="153"/>
        <v>10.619089375975474</v>
      </c>
      <c r="P167" s="190">
        <f t="shared" si="153"/>
        <v>10.512898482215718</v>
      </c>
      <c r="Q167" s="190">
        <f t="shared" si="153"/>
        <v>10.406707588455964</v>
      </c>
      <c r="R167" s="190">
        <f t="shared" si="153"/>
        <v>10.30051669469621</v>
      </c>
      <c r="S167" s="190">
        <f t="shared" si="153"/>
        <v>10.194325800936454</v>
      </c>
      <c r="T167" s="190">
        <f t="shared" si="153"/>
        <v>10.0881349071767</v>
      </c>
      <c r="U167" s="190">
        <f t="shared" si="153"/>
        <v>9.9819440134169444</v>
      </c>
      <c r="V167" s="190">
        <f t="shared" si="153"/>
        <v>9.8757531196571886</v>
      </c>
      <c r="W167" s="190">
        <f t="shared" si="153"/>
        <v>9.7695622258974346</v>
      </c>
      <c r="X167" s="190">
        <f t="shared" si="153"/>
        <v>9.6633713321376806</v>
      </c>
      <c r="Y167" s="190">
        <f t="shared" si="153"/>
        <v>9.5571804383779249</v>
      </c>
      <c r="Z167" s="190">
        <f t="shared" si="153"/>
        <v>9.4509895446181709</v>
      </c>
      <c r="AA167" s="190">
        <f t="shared" si="153"/>
        <v>9.3447986508584169</v>
      </c>
      <c r="AB167" s="190">
        <f t="shared" si="153"/>
        <v>9.2386077570986611</v>
      </c>
      <c r="AC167" s="190">
        <f t="shared" si="153"/>
        <v>9.1324168633389053</v>
      </c>
      <c r="AD167" s="190">
        <f t="shared" si="153"/>
        <v>9.0262259695791514</v>
      </c>
      <c r="AE167" s="190">
        <f t="shared" si="153"/>
        <v>8.9200350758193956</v>
      </c>
      <c r="AF167" s="190">
        <f t="shared" si="153"/>
        <v>8.8138441820596416</v>
      </c>
      <c r="AG167" s="190">
        <f t="shared" si="153"/>
        <v>8.7076532882998876</v>
      </c>
      <c r="AH167" s="190">
        <f t="shared" si="153"/>
        <v>8.6014623945401301</v>
      </c>
      <c r="AI167" s="190">
        <f t="shared" si="153"/>
        <v>8.4952715007803761</v>
      </c>
      <c r="AJ167" s="190">
        <f t="shared" si="153"/>
        <v>8.3890806070206221</v>
      </c>
      <c r="AK167" s="190">
        <f t="shared" si="153"/>
        <v>8.2828897132608681</v>
      </c>
      <c r="AL167" s="190">
        <f t="shared" si="153"/>
        <v>8.1766988195011141</v>
      </c>
      <c r="AM167" s="190">
        <f t="shared" si="153"/>
        <v>8.0705079257413583</v>
      </c>
      <c r="AN167" s="190">
        <f t="shared" si="153"/>
        <v>7.9643170319816026</v>
      </c>
      <c r="AO167" s="190">
        <f t="shared" si="153"/>
        <v>7.8581261382218477</v>
      </c>
      <c r="AP167" s="190">
        <f t="shared" si="153"/>
        <v>7.7519352444620928</v>
      </c>
      <c r="AQ167" s="190">
        <f t="shared" si="153"/>
        <v>7.645744350702337</v>
      </c>
      <c r="AR167" s="190">
        <f t="shared" si="153"/>
        <v>7.5395534569425839</v>
      </c>
      <c r="AS167" s="190">
        <f t="shared" si="153"/>
        <v>7.4333625631828282</v>
      </c>
      <c r="AT167" s="190">
        <f t="shared" si="153"/>
        <v>7.3271716694230724</v>
      </c>
      <c r="AU167" s="190">
        <f t="shared" si="153"/>
        <v>7.2209807756633184</v>
      </c>
      <c r="AV167" s="190">
        <f t="shared" si="153"/>
        <v>7.1147898819035644</v>
      </c>
    </row>
    <row r="168" spans="1:48">
      <c r="A168" s="4" t="s">
        <v>17</v>
      </c>
      <c r="B168" s="96" t="str">
        <f t="shared" si="146"/>
        <v>CEG</v>
      </c>
      <c r="C168" s="96" t="str">
        <f t="shared" si="147"/>
        <v>Commercial - Public lights</v>
      </c>
      <c r="E168" s="123"/>
      <c r="F168" s="123"/>
      <c r="I168" s="181"/>
      <c r="J168" s="190">
        <f t="shared" ref="J168:AV168" si="154">J$35*J76/1000</f>
        <v>0</v>
      </c>
      <c r="K168" s="190">
        <f t="shared" si="154"/>
        <v>0</v>
      </c>
      <c r="L168" s="190">
        <f t="shared" si="154"/>
        <v>0</v>
      </c>
      <c r="M168" s="190">
        <f t="shared" si="154"/>
        <v>0</v>
      </c>
      <c r="N168" s="190">
        <f t="shared" si="154"/>
        <v>0</v>
      </c>
      <c r="O168" s="190">
        <f t="shared" si="154"/>
        <v>0</v>
      </c>
      <c r="P168" s="190">
        <f t="shared" si="154"/>
        <v>0</v>
      </c>
      <c r="Q168" s="190">
        <f t="shared" si="154"/>
        <v>0</v>
      </c>
      <c r="R168" s="190">
        <f t="shared" si="154"/>
        <v>0</v>
      </c>
      <c r="S168" s="190">
        <f t="shared" si="154"/>
        <v>0</v>
      </c>
      <c r="T168" s="190">
        <f t="shared" si="154"/>
        <v>0</v>
      </c>
      <c r="U168" s="190">
        <f t="shared" si="154"/>
        <v>0</v>
      </c>
      <c r="V168" s="190">
        <f t="shared" si="154"/>
        <v>0</v>
      </c>
      <c r="W168" s="190">
        <f t="shared" si="154"/>
        <v>0</v>
      </c>
      <c r="X168" s="190">
        <f t="shared" si="154"/>
        <v>0</v>
      </c>
      <c r="Y168" s="190">
        <f t="shared" si="154"/>
        <v>0</v>
      </c>
      <c r="Z168" s="190">
        <f t="shared" si="154"/>
        <v>0</v>
      </c>
      <c r="AA168" s="190">
        <f t="shared" si="154"/>
        <v>0</v>
      </c>
      <c r="AB168" s="190">
        <f t="shared" si="154"/>
        <v>0</v>
      </c>
      <c r="AC168" s="190">
        <f t="shared" si="154"/>
        <v>0</v>
      </c>
      <c r="AD168" s="190">
        <f t="shared" si="154"/>
        <v>0</v>
      </c>
      <c r="AE168" s="190">
        <f t="shared" si="154"/>
        <v>0</v>
      </c>
      <c r="AF168" s="190">
        <f t="shared" si="154"/>
        <v>0</v>
      </c>
      <c r="AG168" s="190">
        <f t="shared" si="154"/>
        <v>0</v>
      </c>
      <c r="AH168" s="190">
        <f t="shared" si="154"/>
        <v>0</v>
      </c>
      <c r="AI168" s="190">
        <f t="shared" si="154"/>
        <v>0</v>
      </c>
      <c r="AJ168" s="190">
        <f t="shared" si="154"/>
        <v>0</v>
      </c>
      <c r="AK168" s="190">
        <f t="shared" si="154"/>
        <v>0</v>
      </c>
      <c r="AL168" s="190">
        <f t="shared" si="154"/>
        <v>0</v>
      </c>
      <c r="AM168" s="190">
        <f t="shared" si="154"/>
        <v>0</v>
      </c>
      <c r="AN168" s="190">
        <f t="shared" si="154"/>
        <v>0</v>
      </c>
      <c r="AO168" s="190">
        <f t="shared" si="154"/>
        <v>0</v>
      </c>
      <c r="AP168" s="190">
        <f t="shared" si="154"/>
        <v>0</v>
      </c>
      <c r="AQ168" s="190">
        <f t="shared" si="154"/>
        <v>0</v>
      </c>
      <c r="AR168" s="190">
        <f t="shared" si="154"/>
        <v>0</v>
      </c>
      <c r="AS168" s="190">
        <f t="shared" si="154"/>
        <v>0</v>
      </c>
      <c r="AT168" s="190">
        <f t="shared" si="154"/>
        <v>0</v>
      </c>
      <c r="AU168" s="190">
        <f t="shared" si="154"/>
        <v>0</v>
      </c>
      <c r="AV168" s="190">
        <f t="shared" si="154"/>
        <v>0</v>
      </c>
    </row>
    <row r="169" spans="1:48">
      <c r="A169" s="4" t="s">
        <v>17</v>
      </c>
      <c r="B169" s="96" t="str">
        <f t="shared" si="146"/>
        <v>CET</v>
      </c>
      <c r="C169" s="96" t="str">
        <f t="shared" si="147"/>
        <v>Commercial - Public Water</v>
      </c>
      <c r="E169" s="123"/>
      <c r="F169" s="123"/>
      <c r="I169" s="181"/>
      <c r="J169" s="190">
        <f t="shared" ref="J169:AV169" si="155">J$35*J77/1000</f>
        <v>0</v>
      </c>
      <c r="K169" s="190">
        <f t="shared" si="155"/>
        <v>0</v>
      </c>
      <c r="L169" s="190">
        <f t="shared" si="155"/>
        <v>0</v>
      </c>
      <c r="M169" s="190">
        <f t="shared" si="155"/>
        <v>0</v>
      </c>
      <c r="N169" s="190">
        <f t="shared" si="155"/>
        <v>0</v>
      </c>
      <c r="O169" s="190">
        <f t="shared" si="155"/>
        <v>0</v>
      </c>
      <c r="P169" s="190">
        <f t="shared" si="155"/>
        <v>0</v>
      </c>
      <c r="Q169" s="190">
        <f t="shared" si="155"/>
        <v>0</v>
      </c>
      <c r="R169" s="190">
        <f t="shared" si="155"/>
        <v>0</v>
      </c>
      <c r="S169" s="190">
        <f t="shared" si="155"/>
        <v>0</v>
      </c>
      <c r="T169" s="190">
        <f t="shared" si="155"/>
        <v>0</v>
      </c>
      <c r="U169" s="190">
        <f t="shared" si="155"/>
        <v>0</v>
      </c>
      <c r="V169" s="190">
        <f t="shared" si="155"/>
        <v>0</v>
      </c>
      <c r="W169" s="190">
        <f t="shared" si="155"/>
        <v>0</v>
      </c>
      <c r="X169" s="190">
        <f t="shared" si="155"/>
        <v>0</v>
      </c>
      <c r="Y169" s="190">
        <f t="shared" si="155"/>
        <v>0</v>
      </c>
      <c r="Z169" s="190">
        <f t="shared" si="155"/>
        <v>0</v>
      </c>
      <c r="AA169" s="190">
        <f t="shared" si="155"/>
        <v>0</v>
      </c>
      <c r="AB169" s="190">
        <f t="shared" si="155"/>
        <v>0</v>
      </c>
      <c r="AC169" s="190">
        <f t="shared" si="155"/>
        <v>0</v>
      </c>
      <c r="AD169" s="190">
        <f t="shared" si="155"/>
        <v>0</v>
      </c>
      <c r="AE169" s="190">
        <f t="shared" si="155"/>
        <v>0</v>
      </c>
      <c r="AF169" s="190">
        <f t="shared" si="155"/>
        <v>0</v>
      </c>
      <c r="AG169" s="190">
        <f t="shared" si="155"/>
        <v>0</v>
      </c>
      <c r="AH169" s="190">
        <f t="shared" si="155"/>
        <v>0</v>
      </c>
      <c r="AI169" s="190">
        <f t="shared" si="155"/>
        <v>0</v>
      </c>
      <c r="AJ169" s="190">
        <f t="shared" si="155"/>
        <v>0</v>
      </c>
      <c r="AK169" s="190">
        <f t="shared" si="155"/>
        <v>0</v>
      </c>
      <c r="AL169" s="190">
        <f t="shared" si="155"/>
        <v>0</v>
      </c>
      <c r="AM169" s="190">
        <f t="shared" si="155"/>
        <v>0</v>
      </c>
      <c r="AN169" s="190">
        <f t="shared" si="155"/>
        <v>0</v>
      </c>
      <c r="AO169" s="190">
        <f t="shared" si="155"/>
        <v>0</v>
      </c>
      <c r="AP169" s="190">
        <f t="shared" si="155"/>
        <v>0</v>
      </c>
      <c r="AQ169" s="190">
        <f t="shared" si="155"/>
        <v>0</v>
      </c>
      <c r="AR169" s="190">
        <f t="shared" si="155"/>
        <v>0</v>
      </c>
      <c r="AS169" s="190">
        <f t="shared" si="155"/>
        <v>0</v>
      </c>
      <c r="AT169" s="190">
        <f t="shared" si="155"/>
        <v>0</v>
      </c>
      <c r="AU169" s="190">
        <f t="shared" si="155"/>
        <v>0</v>
      </c>
      <c r="AV169" s="190">
        <f t="shared" si="155"/>
        <v>0</v>
      </c>
    </row>
    <row r="170" spans="1:48">
      <c r="A170" s="4" t="s">
        <v>17</v>
      </c>
      <c r="B170" s="96" t="str">
        <f t="shared" si="146"/>
        <v>CEO</v>
      </c>
      <c r="C170" s="96" t="str">
        <f t="shared" si="147"/>
        <v>Commercial - Other</v>
      </c>
      <c r="E170" s="123"/>
      <c r="F170" s="123"/>
      <c r="I170" s="181"/>
      <c r="J170" s="190">
        <f t="shared" ref="J170:AV170" si="156">J$35*J78/1000</f>
        <v>15.008147485663144</v>
      </c>
      <c r="K170" s="190">
        <f t="shared" si="156"/>
        <v>14.724669209836465</v>
      </c>
      <c r="L170" s="190">
        <f t="shared" si="156"/>
        <v>14.476301330592324</v>
      </c>
      <c r="M170" s="190">
        <f t="shared" si="156"/>
        <v>14.197730449442318</v>
      </c>
      <c r="N170" s="190">
        <f t="shared" si="156"/>
        <v>13.904283942786204</v>
      </c>
      <c r="O170" s="190">
        <f t="shared" si="156"/>
        <v>13.599393396635234</v>
      </c>
      <c r="P170" s="190">
        <f t="shared" si="156"/>
        <v>13.463399462668882</v>
      </c>
      <c r="Q170" s="190">
        <f t="shared" si="156"/>
        <v>13.327405528702529</v>
      </c>
      <c r="R170" s="190">
        <f t="shared" si="156"/>
        <v>13.191411594736177</v>
      </c>
      <c r="S170" s="190">
        <f t="shared" si="156"/>
        <v>13.055417660769825</v>
      </c>
      <c r="T170" s="190">
        <f t="shared" si="156"/>
        <v>12.919423726803473</v>
      </c>
      <c r="U170" s="190">
        <f t="shared" si="156"/>
        <v>12.783429792837119</v>
      </c>
      <c r="V170" s="190">
        <f t="shared" si="156"/>
        <v>12.647435858870768</v>
      </c>
      <c r="W170" s="190">
        <f t="shared" si="156"/>
        <v>12.511441924904414</v>
      </c>
      <c r="X170" s="190">
        <f t="shared" si="156"/>
        <v>12.375447990938062</v>
      </c>
      <c r="Y170" s="190">
        <f t="shared" si="156"/>
        <v>12.239454056971708</v>
      </c>
      <c r="Z170" s="190">
        <f t="shared" si="156"/>
        <v>12.103460123005357</v>
      </c>
      <c r="AA170" s="190">
        <f t="shared" si="156"/>
        <v>11.967466189039005</v>
      </c>
      <c r="AB170" s="190">
        <f t="shared" si="156"/>
        <v>11.831472255072653</v>
      </c>
      <c r="AC170" s="190">
        <f t="shared" si="156"/>
        <v>11.695478321106298</v>
      </c>
      <c r="AD170" s="190">
        <f t="shared" si="156"/>
        <v>11.559484387139948</v>
      </c>
      <c r="AE170" s="190">
        <f t="shared" si="156"/>
        <v>11.423490453173594</v>
      </c>
      <c r="AF170" s="190">
        <f t="shared" si="156"/>
        <v>11.287496519207243</v>
      </c>
      <c r="AG170" s="190">
        <f t="shared" si="156"/>
        <v>11.151502585240889</v>
      </c>
      <c r="AH170" s="190">
        <f t="shared" si="156"/>
        <v>11.015508651274537</v>
      </c>
      <c r="AI170" s="190">
        <f t="shared" si="156"/>
        <v>10.879514717308185</v>
      </c>
      <c r="AJ170" s="190">
        <f t="shared" si="156"/>
        <v>10.743520783341832</v>
      </c>
      <c r="AK170" s="190">
        <f t="shared" si="156"/>
        <v>10.607526849375482</v>
      </c>
      <c r="AL170" s="190">
        <f t="shared" si="156"/>
        <v>10.471532915409128</v>
      </c>
      <c r="AM170" s="190">
        <f t="shared" si="156"/>
        <v>10.335538981442776</v>
      </c>
      <c r="AN170" s="190">
        <f t="shared" si="156"/>
        <v>10.199545047476422</v>
      </c>
      <c r="AO170" s="190">
        <f t="shared" si="156"/>
        <v>10.063551113510071</v>
      </c>
      <c r="AP170" s="190">
        <f t="shared" si="156"/>
        <v>9.927557179543717</v>
      </c>
      <c r="AQ170" s="190">
        <f t="shared" si="156"/>
        <v>9.7915632455773647</v>
      </c>
      <c r="AR170" s="190">
        <f t="shared" si="156"/>
        <v>9.6555693116110124</v>
      </c>
      <c r="AS170" s="190">
        <f t="shared" si="156"/>
        <v>9.5195753776446601</v>
      </c>
      <c r="AT170" s="190">
        <f t="shared" si="156"/>
        <v>9.383581443678306</v>
      </c>
      <c r="AU170" s="190">
        <f t="shared" si="156"/>
        <v>9.2475875097119555</v>
      </c>
      <c r="AV170" s="190">
        <f t="shared" si="156"/>
        <v>9.1115935757456032</v>
      </c>
    </row>
    <row r="171" spans="1:48">
      <c r="A171" s="4" t="s">
        <v>17</v>
      </c>
      <c r="E171" s="123"/>
      <c r="F171" s="123"/>
      <c r="I171" s="181"/>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c r="AG171" s="188"/>
      <c r="AH171" s="188"/>
      <c r="AI171" s="188"/>
      <c r="AJ171" s="188"/>
      <c r="AK171" s="188"/>
      <c r="AL171" s="188"/>
      <c r="AM171" s="188"/>
      <c r="AN171" s="188"/>
      <c r="AO171" s="188"/>
      <c r="AP171" s="188"/>
      <c r="AQ171" s="188"/>
      <c r="AR171" s="188"/>
      <c r="AS171" s="188"/>
      <c r="AT171" s="188"/>
      <c r="AU171" s="188"/>
      <c r="AV171" s="188"/>
    </row>
    <row r="172" spans="1:48">
      <c r="A172" s="4" t="s">
        <v>17</v>
      </c>
      <c r="E172" s="123"/>
      <c r="F172" s="123"/>
      <c r="I172" s="187"/>
      <c r="J172" s="188"/>
      <c r="K172" s="188"/>
      <c r="L172" s="188"/>
      <c r="M172" s="188"/>
      <c r="N172" s="188"/>
      <c r="O172" s="188"/>
      <c r="P172" s="188"/>
      <c r="Q172" s="188"/>
      <c r="R172" s="188"/>
      <c r="S172" s="188"/>
      <c r="T172" s="188"/>
      <c r="U172" s="188"/>
      <c r="V172" s="188"/>
      <c r="W172" s="188"/>
      <c r="X172" s="188"/>
      <c r="Y172" s="188"/>
      <c r="Z172" s="188"/>
      <c r="AA172" s="188"/>
      <c r="AB172" s="188"/>
      <c r="AC172" s="188"/>
      <c r="AD172" s="188"/>
      <c r="AE172" s="188"/>
      <c r="AF172" s="188"/>
      <c r="AG172" s="188"/>
      <c r="AH172" s="188"/>
      <c r="AI172" s="188"/>
      <c r="AJ172" s="188"/>
      <c r="AK172" s="188"/>
      <c r="AL172" s="188"/>
      <c r="AM172" s="188"/>
      <c r="AN172" s="188"/>
      <c r="AO172" s="188"/>
      <c r="AP172" s="188"/>
      <c r="AQ172" s="188"/>
      <c r="AR172" s="188"/>
      <c r="AS172" s="188"/>
      <c r="AT172" s="188"/>
      <c r="AU172" s="188"/>
      <c r="AV172" s="188"/>
    </row>
    <row r="173" spans="1:48" ht="15" thickBot="1">
      <c r="A173" s="4" t="s">
        <v>17</v>
      </c>
      <c r="B173" s="189" t="s">
        <v>518</v>
      </c>
      <c r="C173" s="94"/>
      <c r="D173" s="94"/>
      <c r="E173" s="119"/>
      <c r="F173" s="119"/>
      <c r="I173" s="187" t="s">
        <v>110</v>
      </c>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row>
    <row r="174" spans="1:48">
      <c r="A174" s="4" t="s">
        <v>17</v>
      </c>
      <c r="B174" s="96" t="str">
        <f t="shared" ref="B174:B182" si="157">B105</f>
        <v>CNC</v>
      </c>
      <c r="C174" s="96" t="str">
        <f t="shared" ref="C174:C182" si="158">C162</f>
        <v>Commercial - Cooling</v>
      </c>
      <c r="E174" s="123"/>
      <c r="F174" s="123"/>
      <c r="I174" s="187"/>
      <c r="J174" s="190">
        <f t="shared" ref="J174:S182" si="159">INDEX(J$49:J$52,MATCH($I$173,$B$49:$B$52,0),1)*INDEX(J$81:J$89,MATCH($B174,$B$81:$B$89,0))*INDEX(J$105:J$113,MATCH($B174,$B$105:$B$113,0))/1000</f>
        <v>0</v>
      </c>
      <c r="K174" s="190">
        <f t="shared" si="159"/>
        <v>0</v>
      </c>
      <c r="L174" s="190">
        <f t="shared" si="159"/>
        <v>0</v>
      </c>
      <c r="M174" s="190">
        <f t="shared" si="159"/>
        <v>0</v>
      </c>
      <c r="N174" s="190">
        <f t="shared" si="159"/>
        <v>0</v>
      </c>
      <c r="O174" s="190">
        <f t="shared" si="159"/>
        <v>0</v>
      </c>
      <c r="P174" s="190">
        <f t="shared" si="159"/>
        <v>0</v>
      </c>
      <c r="Q174" s="190">
        <f t="shared" si="159"/>
        <v>0</v>
      </c>
      <c r="R174" s="190">
        <f t="shared" si="159"/>
        <v>0</v>
      </c>
      <c r="S174" s="190">
        <f t="shared" si="159"/>
        <v>0</v>
      </c>
      <c r="T174" s="190">
        <f t="shared" ref="T174:AC182" si="160">INDEX(T$49:T$52,MATCH($I$173,$B$49:$B$52,0),1)*INDEX(T$81:T$89,MATCH($B174,$B$81:$B$89,0))*INDEX(T$105:T$113,MATCH($B174,$B$105:$B$113,0))/1000</f>
        <v>0</v>
      </c>
      <c r="U174" s="190">
        <f t="shared" si="160"/>
        <v>0</v>
      </c>
      <c r="V174" s="190">
        <f t="shared" si="160"/>
        <v>0</v>
      </c>
      <c r="W174" s="190">
        <f t="shared" si="160"/>
        <v>0</v>
      </c>
      <c r="X174" s="190">
        <f t="shared" si="160"/>
        <v>0</v>
      </c>
      <c r="Y174" s="190">
        <f t="shared" si="160"/>
        <v>0</v>
      </c>
      <c r="Z174" s="190">
        <f t="shared" si="160"/>
        <v>0</v>
      </c>
      <c r="AA174" s="190">
        <f t="shared" si="160"/>
        <v>0</v>
      </c>
      <c r="AB174" s="190">
        <f t="shared" si="160"/>
        <v>0</v>
      </c>
      <c r="AC174" s="190">
        <f t="shared" si="160"/>
        <v>0</v>
      </c>
      <c r="AD174" s="190">
        <f t="shared" ref="AD174:AM182" si="161">INDEX(AD$49:AD$52,MATCH($I$173,$B$49:$B$52,0),1)*INDEX(AD$81:AD$89,MATCH($B174,$B$81:$B$89,0))*INDEX(AD$105:AD$113,MATCH($B174,$B$105:$B$113,0))/1000</f>
        <v>0</v>
      </c>
      <c r="AE174" s="190">
        <f t="shared" si="161"/>
        <v>0</v>
      </c>
      <c r="AF174" s="190">
        <f t="shared" si="161"/>
        <v>0</v>
      </c>
      <c r="AG174" s="190">
        <f t="shared" si="161"/>
        <v>0</v>
      </c>
      <c r="AH174" s="190">
        <f t="shared" si="161"/>
        <v>0</v>
      </c>
      <c r="AI174" s="190">
        <f t="shared" si="161"/>
        <v>0</v>
      </c>
      <c r="AJ174" s="190">
        <f t="shared" si="161"/>
        <v>0</v>
      </c>
      <c r="AK174" s="190">
        <f t="shared" si="161"/>
        <v>0</v>
      </c>
      <c r="AL174" s="190">
        <f t="shared" si="161"/>
        <v>0</v>
      </c>
      <c r="AM174" s="190">
        <f t="shared" si="161"/>
        <v>0</v>
      </c>
      <c r="AN174" s="190">
        <f t="shared" ref="AN174:AV182" si="162">INDEX(AN$49:AN$52,MATCH($I$173,$B$49:$B$52,0),1)*INDEX(AN$81:AN$89,MATCH($B174,$B$81:$B$89,0))*INDEX(AN$105:AN$113,MATCH($B174,$B$105:$B$113,0))/1000</f>
        <v>0</v>
      </c>
      <c r="AO174" s="190">
        <f t="shared" si="162"/>
        <v>0</v>
      </c>
      <c r="AP174" s="190">
        <f t="shared" si="162"/>
        <v>0</v>
      </c>
      <c r="AQ174" s="190">
        <f t="shared" si="162"/>
        <v>0</v>
      </c>
      <c r="AR174" s="190">
        <f t="shared" si="162"/>
        <v>0</v>
      </c>
      <c r="AS174" s="190">
        <f t="shared" si="162"/>
        <v>0</v>
      </c>
      <c r="AT174" s="190">
        <f t="shared" si="162"/>
        <v>0</v>
      </c>
      <c r="AU174" s="190">
        <f t="shared" si="162"/>
        <v>0</v>
      </c>
      <c r="AV174" s="190">
        <f t="shared" si="162"/>
        <v>0</v>
      </c>
    </row>
    <row r="175" spans="1:48">
      <c r="A175" s="4" t="s">
        <v>17</v>
      </c>
      <c r="B175" s="96" t="str">
        <f t="shared" si="157"/>
        <v>CNH</v>
      </c>
      <c r="C175" s="96" t="str">
        <f t="shared" si="158"/>
        <v>Commercial - Space Heating</v>
      </c>
      <c r="E175" s="123"/>
      <c r="F175" s="123"/>
      <c r="I175" s="187"/>
      <c r="J175" s="190">
        <f t="shared" si="159"/>
        <v>0</v>
      </c>
      <c r="K175" s="190">
        <f t="shared" si="159"/>
        <v>0</v>
      </c>
      <c r="L175" s="190">
        <f t="shared" si="159"/>
        <v>0</v>
      </c>
      <c r="M175" s="190">
        <f t="shared" si="159"/>
        <v>0</v>
      </c>
      <c r="N175" s="190">
        <f t="shared" si="159"/>
        <v>0</v>
      </c>
      <c r="O175" s="190">
        <f t="shared" si="159"/>
        <v>0</v>
      </c>
      <c r="P175" s="190">
        <f t="shared" si="159"/>
        <v>0</v>
      </c>
      <c r="Q175" s="190">
        <f t="shared" si="159"/>
        <v>0</v>
      </c>
      <c r="R175" s="190">
        <f t="shared" si="159"/>
        <v>0</v>
      </c>
      <c r="S175" s="190">
        <f t="shared" si="159"/>
        <v>0</v>
      </c>
      <c r="T175" s="190">
        <f t="shared" si="160"/>
        <v>0</v>
      </c>
      <c r="U175" s="190">
        <f t="shared" si="160"/>
        <v>0</v>
      </c>
      <c r="V175" s="190">
        <f t="shared" si="160"/>
        <v>0</v>
      </c>
      <c r="W175" s="190">
        <f t="shared" si="160"/>
        <v>0</v>
      </c>
      <c r="X175" s="190">
        <f t="shared" si="160"/>
        <v>0</v>
      </c>
      <c r="Y175" s="190">
        <f t="shared" si="160"/>
        <v>0</v>
      </c>
      <c r="Z175" s="190">
        <f t="shared" si="160"/>
        <v>0</v>
      </c>
      <c r="AA175" s="190">
        <f t="shared" si="160"/>
        <v>0</v>
      </c>
      <c r="AB175" s="190">
        <f t="shared" si="160"/>
        <v>0</v>
      </c>
      <c r="AC175" s="190">
        <f t="shared" si="160"/>
        <v>0</v>
      </c>
      <c r="AD175" s="190">
        <f t="shared" si="161"/>
        <v>0</v>
      </c>
      <c r="AE175" s="190">
        <f t="shared" si="161"/>
        <v>0</v>
      </c>
      <c r="AF175" s="190">
        <f t="shared" si="161"/>
        <v>0</v>
      </c>
      <c r="AG175" s="190">
        <f t="shared" si="161"/>
        <v>0</v>
      </c>
      <c r="AH175" s="190">
        <f t="shared" si="161"/>
        <v>0</v>
      </c>
      <c r="AI175" s="190">
        <f t="shared" si="161"/>
        <v>0</v>
      </c>
      <c r="AJ175" s="190">
        <f t="shared" si="161"/>
        <v>0</v>
      </c>
      <c r="AK175" s="190">
        <f t="shared" si="161"/>
        <v>0</v>
      </c>
      <c r="AL175" s="190">
        <f t="shared" si="161"/>
        <v>0</v>
      </c>
      <c r="AM175" s="190">
        <f t="shared" si="161"/>
        <v>0</v>
      </c>
      <c r="AN175" s="190">
        <f t="shared" si="162"/>
        <v>0</v>
      </c>
      <c r="AO175" s="190">
        <f t="shared" si="162"/>
        <v>0</v>
      </c>
      <c r="AP175" s="190">
        <f t="shared" si="162"/>
        <v>0</v>
      </c>
      <c r="AQ175" s="190">
        <f t="shared" si="162"/>
        <v>0</v>
      </c>
      <c r="AR175" s="190">
        <f t="shared" si="162"/>
        <v>0</v>
      </c>
      <c r="AS175" s="190">
        <f t="shared" si="162"/>
        <v>0</v>
      </c>
      <c r="AT175" s="190">
        <f t="shared" si="162"/>
        <v>0</v>
      </c>
      <c r="AU175" s="190">
        <f t="shared" si="162"/>
        <v>0</v>
      </c>
      <c r="AV175" s="190">
        <f t="shared" si="162"/>
        <v>0</v>
      </c>
    </row>
    <row r="176" spans="1:48">
      <c r="A176" s="4" t="s">
        <v>17</v>
      </c>
      <c r="B176" s="96" t="str">
        <f t="shared" si="157"/>
        <v>CNK</v>
      </c>
      <c r="C176" s="96" t="str">
        <f t="shared" si="158"/>
        <v>Commercial - Cooking</v>
      </c>
      <c r="E176" s="123"/>
      <c r="F176" s="123"/>
      <c r="I176" s="187"/>
      <c r="J176" s="190">
        <f t="shared" si="159"/>
        <v>0</v>
      </c>
      <c r="K176" s="190">
        <f t="shared" si="159"/>
        <v>0</v>
      </c>
      <c r="L176" s="190">
        <f t="shared" si="159"/>
        <v>0</v>
      </c>
      <c r="M176" s="190">
        <f t="shared" si="159"/>
        <v>0</v>
      </c>
      <c r="N176" s="190">
        <f t="shared" si="159"/>
        <v>0</v>
      </c>
      <c r="O176" s="190">
        <f t="shared" si="159"/>
        <v>0</v>
      </c>
      <c r="P176" s="190">
        <f t="shared" si="159"/>
        <v>0</v>
      </c>
      <c r="Q176" s="190">
        <f t="shared" si="159"/>
        <v>0</v>
      </c>
      <c r="R176" s="190">
        <f t="shared" si="159"/>
        <v>0</v>
      </c>
      <c r="S176" s="190">
        <f t="shared" si="159"/>
        <v>0</v>
      </c>
      <c r="T176" s="190">
        <f t="shared" si="160"/>
        <v>0</v>
      </c>
      <c r="U176" s="190">
        <f t="shared" si="160"/>
        <v>0</v>
      </c>
      <c r="V176" s="190">
        <f t="shared" si="160"/>
        <v>0</v>
      </c>
      <c r="W176" s="190">
        <f t="shared" si="160"/>
        <v>0</v>
      </c>
      <c r="X176" s="190">
        <f t="shared" si="160"/>
        <v>0</v>
      </c>
      <c r="Y176" s="190">
        <f t="shared" si="160"/>
        <v>0</v>
      </c>
      <c r="Z176" s="190">
        <f t="shared" si="160"/>
        <v>0</v>
      </c>
      <c r="AA176" s="190">
        <f t="shared" si="160"/>
        <v>0</v>
      </c>
      <c r="AB176" s="190">
        <f t="shared" si="160"/>
        <v>0</v>
      </c>
      <c r="AC176" s="190">
        <f t="shared" si="160"/>
        <v>0</v>
      </c>
      <c r="AD176" s="190">
        <f t="shared" si="161"/>
        <v>0</v>
      </c>
      <c r="AE176" s="190">
        <f t="shared" si="161"/>
        <v>0</v>
      </c>
      <c r="AF176" s="190">
        <f t="shared" si="161"/>
        <v>0</v>
      </c>
      <c r="AG176" s="190">
        <f t="shared" si="161"/>
        <v>0</v>
      </c>
      <c r="AH176" s="190">
        <f t="shared" si="161"/>
        <v>0</v>
      </c>
      <c r="AI176" s="190">
        <f t="shared" si="161"/>
        <v>0</v>
      </c>
      <c r="AJ176" s="190">
        <f t="shared" si="161"/>
        <v>0</v>
      </c>
      <c r="AK176" s="190">
        <f t="shared" si="161"/>
        <v>0</v>
      </c>
      <c r="AL176" s="190">
        <f t="shared" si="161"/>
        <v>0</v>
      </c>
      <c r="AM176" s="190">
        <f t="shared" si="161"/>
        <v>0</v>
      </c>
      <c r="AN176" s="190">
        <f t="shared" si="162"/>
        <v>0</v>
      </c>
      <c r="AO176" s="190">
        <f t="shared" si="162"/>
        <v>0</v>
      </c>
      <c r="AP176" s="190">
        <f t="shared" si="162"/>
        <v>0</v>
      </c>
      <c r="AQ176" s="190">
        <f t="shared" si="162"/>
        <v>0</v>
      </c>
      <c r="AR176" s="190">
        <f t="shared" si="162"/>
        <v>0</v>
      </c>
      <c r="AS176" s="190">
        <f t="shared" si="162"/>
        <v>0</v>
      </c>
      <c r="AT176" s="190">
        <f t="shared" si="162"/>
        <v>0</v>
      </c>
      <c r="AU176" s="190">
        <f t="shared" si="162"/>
        <v>0</v>
      </c>
      <c r="AV176" s="190">
        <f t="shared" si="162"/>
        <v>0</v>
      </c>
    </row>
    <row r="177" spans="1:48">
      <c r="A177" s="4" t="s">
        <v>17</v>
      </c>
      <c r="B177" s="96" t="str">
        <f t="shared" si="157"/>
        <v>CNL</v>
      </c>
      <c r="C177" s="96" t="str">
        <f t="shared" si="158"/>
        <v>Commercial - Lighting</v>
      </c>
      <c r="E177" s="123"/>
      <c r="F177" s="123"/>
      <c r="I177" s="187"/>
      <c r="J177" s="190">
        <f t="shared" si="159"/>
        <v>0</v>
      </c>
      <c r="K177" s="190">
        <f t="shared" si="159"/>
        <v>0</v>
      </c>
      <c r="L177" s="190">
        <f t="shared" si="159"/>
        <v>0</v>
      </c>
      <c r="M177" s="190">
        <f t="shared" si="159"/>
        <v>0</v>
      </c>
      <c r="N177" s="190">
        <f t="shared" si="159"/>
        <v>0</v>
      </c>
      <c r="O177" s="190">
        <f t="shared" si="159"/>
        <v>0</v>
      </c>
      <c r="P177" s="190">
        <f t="shared" si="159"/>
        <v>0</v>
      </c>
      <c r="Q177" s="190">
        <f t="shared" si="159"/>
        <v>0</v>
      </c>
      <c r="R177" s="190">
        <f t="shared" si="159"/>
        <v>0</v>
      </c>
      <c r="S177" s="190">
        <f t="shared" si="159"/>
        <v>0</v>
      </c>
      <c r="T177" s="190">
        <f t="shared" si="160"/>
        <v>0</v>
      </c>
      <c r="U177" s="190">
        <f t="shared" si="160"/>
        <v>0</v>
      </c>
      <c r="V177" s="190">
        <f t="shared" si="160"/>
        <v>0</v>
      </c>
      <c r="W177" s="190">
        <f t="shared" si="160"/>
        <v>0</v>
      </c>
      <c r="X177" s="190">
        <f t="shared" si="160"/>
        <v>0</v>
      </c>
      <c r="Y177" s="190">
        <f t="shared" si="160"/>
        <v>0</v>
      </c>
      <c r="Z177" s="190">
        <f t="shared" si="160"/>
        <v>0</v>
      </c>
      <c r="AA177" s="190">
        <f t="shared" si="160"/>
        <v>0</v>
      </c>
      <c r="AB177" s="190">
        <f t="shared" si="160"/>
        <v>0</v>
      </c>
      <c r="AC177" s="190">
        <f t="shared" si="160"/>
        <v>0</v>
      </c>
      <c r="AD177" s="190">
        <f t="shared" si="161"/>
        <v>0</v>
      </c>
      <c r="AE177" s="190">
        <f t="shared" si="161"/>
        <v>0</v>
      </c>
      <c r="AF177" s="190">
        <f t="shared" si="161"/>
        <v>0</v>
      </c>
      <c r="AG177" s="190">
        <f t="shared" si="161"/>
        <v>0</v>
      </c>
      <c r="AH177" s="190">
        <f t="shared" si="161"/>
        <v>0</v>
      </c>
      <c r="AI177" s="190">
        <f t="shared" si="161"/>
        <v>0</v>
      </c>
      <c r="AJ177" s="190">
        <f t="shared" si="161"/>
        <v>0</v>
      </c>
      <c r="AK177" s="190">
        <f t="shared" si="161"/>
        <v>0</v>
      </c>
      <c r="AL177" s="190">
        <f t="shared" si="161"/>
        <v>0</v>
      </c>
      <c r="AM177" s="190">
        <f t="shared" si="161"/>
        <v>0</v>
      </c>
      <c r="AN177" s="190">
        <f t="shared" si="162"/>
        <v>0</v>
      </c>
      <c r="AO177" s="190">
        <f t="shared" si="162"/>
        <v>0</v>
      </c>
      <c r="AP177" s="190">
        <f t="shared" si="162"/>
        <v>0</v>
      </c>
      <c r="AQ177" s="190">
        <f t="shared" si="162"/>
        <v>0</v>
      </c>
      <c r="AR177" s="190">
        <f t="shared" si="162"/>
        <v>0</v>
      </c>
      <c r="AS177" s="190">
        <f t="shared" si="162"/>
        <v>0</v>
      </c>
      <c r="AT177" s="190">
        <f t="shared" si="162"/>
        <v>0</v>
      </c>
      <c r="AU177" s="190">
        <f t="shared" si="162"/>
        <v>0</v>
      </c>
      <c r="AV177" s="190">
        <f t="shared" si="162"/>
        <v>0</v>
      </c>
    </row>
    <row r="178" spans="1:48">
      <c r="A178" s="4" t="s">
        <v>17</v>
      </c>
      <c r="B178" s="96" t="str">
        <f t="shared" si="157"/>
        <v>CNR</v>
      </c>
      <c r="C178" s="96" t="str">
        <f t="shared" si="158"/>
        <v>Commercial - Refrigeration</v>
      </c>
      <c r="E178" s="123"/>
      <c r="F178" s="123"/>
      <c r="I178" s="187"/>
      <c r="J178" s="190">
        <f t="shared" si="159"/>
        <v>0</v>
      </c>
      <c r="K178" s="190">
        <f t="shared" si="159"/>
        <v>0</v>
      </c>
      <c r="L178" s="190">
        <f t="shared" si="159"/>
        <v>0</v>
      </c>
      <c r="M178" s="190">
        <f t="shared" si="159"/>
        <v>0</v>
      </c>
      <c r="N178" s="190">
        <f t="shared" si="159"/>
        <v>0</v>
      </c>
      <c r="O178" s="190">
        <f t="shared" si="159"/>
        <v>0</v>
      </c>
      <c r="P178" s="190">
        <f t="shared" si="159"/>
        <v>0</v>
      </c>
      <c r="Q178" s="190">
        <f t="shared" si="159"/>
        <v>0</v>
      </c>
      <c r="R178" s="190">
        <f t="shared" si="159"/>
        <v>0</v>
      </c>
      <c r="S178" s="190">
        <f t="shared" si="159"/>
        <v>0</v>
      </c>
      <c r="T178" s="190">
        <f t="shared" si="160"/>
        <v>0</v>
      </c>
      <c r="U178" s="190">
        <f t="shared" si="160"/>
        <v>0</v>
      </c>
      <c r="V178" s="190">
        <f t="shared" si="160"/>
        <v>0</v>
      </c>
      <c r="W178" s="190">
        <f t="shared" si="160"/>
        <v>0</v>
      </c>
      <c r="X178" s="190">
        <f t="shared" si="160"/>
        <v>0</v>
      </c>
      <c r="Y178" s="190">
        <f t="shared" si="160"/>
        <v>0</v>
      </c>
      <c r="Z178" s="190">
        <f t="shared" si="160"/>
        <v>0</v>
      </c>
      <c r="AA178" s="190">
        <f t="shared" si="160"/>
        <v>0</v>
      </c>
      <c r="AB178" s="190">
        <f t="shared" si="160"/>
        <v>0</v>
      </c>
      <c r="AC178" s="190">
        <f t="shared" si="160"/>
        <v>0</v>
      </c>
      <c r="AD178" s="190">
        <f t="shared" si="161"/>
        <v>0</v>
      </c>
      <c r="AE178" s="190">
        <f t="shared" si="161"/>
        <v>0</v>
      </c>
      <c r="AF178" s="190">
        <f t="shared" si="161"/>
        <v>0</v>
      </c>
      <c r="AG178" s="190">
        <f t="shared" si="161"/>
        <v>0</v>
      </c>
      <c r="AH178" s="190">
        <f t="shared" si="161"/>
        <v>0</v>
      </c>
      <c r="AI178" s="190">
        <f t="shared" si="161"/>
        <v>0</v>
      </c>
      <c r="AJ178" s="190">
        <f t="shared" si="161"/>
        <v>0</v>
      </c>
      <c r="AK178" s="190">
        <f t="shared" si="161"/>
        <v>0</v>
      </c>
      <c r="AL178" s="190">
        <f t="shared" si="161"/>
        <v>0</v>
      </c>
      <c r="AM178" s="190">
        <f t="shared" si="161"/>
        <v>0</v>
      </c>
      <c r="AN178" s="190">
        <f t="shared" si="162"/>
        <v>0</v>
      </c>
      <c r="AO178" s="190">
        <f t="shared" si="162"/>
        <v>0</v>
      </c>
      <c r="AP178" s="190">
        <f t="shared" si="162"/>
        <v>0</v>
      </c>
      <c r="AQ178" s="190">
        <f t="shared" si="162"/>
        <v>0</v>
      </c>
      <c r="AR178" s="190">
        <f t="shared" si="162"/>
        <v>0</v>
      </c>
      <c r="AS178" s="190">
        <f t="shared" si="162"/>
        <v>0</v>
      </c>
      <c r="AT178" s="190">
        <f t="shared" si="162"/>
        <v>0</v>
      </c>
      <c r="AU178" s="190">
        <f t="shared" si="162"/>
        <v>0</v>
      </c>
      <c r="AV178" s="190">
        <f t="shared" si="162"/>
        <v>0</v>
      </c>
    </row>
    <row r="179" spans="1:48">
      <c r="A179" s="4" t="s">
        <v>17</v>
      </c>
      <c r="B179" s="96" t="str">
        <f t="shared" si="157"/>
        <v>CNW</v>
      </c>
      <c r="C179" s="96" t="str">
        <f t="shared" si="158"/>
        <v>Commercial - Water Heating</v>
      </c>
      <c r="E179" s="123"/>
      <c r="F179" s="123"/>
      <c r="I179" s="187"/>
      <c r="J179" s="190">
        <f t="shared" si="159"/>
        <v>0</v>
      </c>
      <c r="K179" s="190">
        <f t="shared" si="159"/>
        <v>0</v>
      </c>
      <c r="L179" s="190">
        <f t="shared" si="159"/>
        <v>0</v>
      </c>
      <c r="M179" s="190">
        <f t="shared" si="159"/>
        <v>0</v>
      </c>
      <c r="N179" s="190">
        <f t="shared" si="159"/>
        <v>0</v>
      </c>
      <c r="O179" s="190">
        <f t="shared" si="159"/>
        <v>0</v>
      </c>
      <c r="P179" s="190">
        <f t="shared" si="159"/>
        <v>0</v>
      </c>
      <c r="Q179" s="190">
        <f t="shared" si="159"/>
        <v>0</v>
      </c>
      <c r="R179" s="190">
        <f t="shared" si="159"/>
        <v>0</v>
      </c>
      <c r="S179" s="190">
        <f t="shared" si="159"/>
        <v>0</v>
      </c>
      <c r="T179" s="190">
        <f t="shared" si="160"/>
        <v>0</v>
      </c>
      <c r="U179" s="190">
        <f t="shared" si="160"/>
        <v>0</v>
      </c>
      <c r="V179" s="190">
        <f t="shared" si="160"/>
        <v>0</v>
      </c>
      <c r="W179" s="190">
        <f t="shared" si="160"/>
        <v>0</v>
      </c>
      <c r="X179" s="190">
        <f t="shared" si="160"/>
        <v>0</v>
      </c>
      <c r="Y179" s="190">
        <f t="shared" si="160"/>
        <v>0</v>
      </c>
      <c r="Z179" s="190">
        <f t="shared" si="160"/>
        <v>0</v>
      </c>
      <c r="AA179" s="190">
        <f t="shared" si="160"/>
        <v>0</v>
      </c>
      <c r="AB179" s="190">
        <f t="shared" si="160"/>
        <v>0</v>
      </c>
      <c r="AC179" s="190">
        <f t="shared" si="160"/>
        <v>0</v>
      </c>
      <c r="AD179" s="190">
        <f t="shared" si="161"/>
        <v>0</v>
      </c>
      <c r="AE179" s="190">
        <f t="shared" si="161"/>
        <v>0</v>
      </c>
      <c r="AF179" s="190">
        <f t="shared" si="161"/>
        <v>0</v>
      </c>
      <c r="AG179" s="190">
        <f t="shared" si="161"/>
        <v>0</v>
      </c>
      <c r="AH179" s="190">
        <f t="shared" si="161"/>
        <v>0</v>
      </c>
      <c r="AI179" s="190">
        <f t="shared" si="161"/>
        <v>0</v>
      </c>
      <c r="AJ179" s="190">
        <f t="shared" si="161"/>
        <v>0</v>
      </c>
      <c r="AK179" s="190">
        <f t="shared" si="161"/>
        <v>0</v>
      </c>
      <c r="AL179" s="190">
        <f t="shared" si="161"/>
        <v>0</v>
      </c>
      <c r="AM179" s="190">
        <f t="shared" si="161"/>
        <v>0</v>
      </c>
      <c r="AN179" s="190">
        <f t="shared" si="162"/>
        <v>0</v>
      </c>
      <c r="AO179" s="190">
        <f t="shared" si="162"/>
        <v>0</v>
      </c>
      <c r="AP179" s="190">
        <f t="shared" si="162"/>
        <v>0</v>
      </c>
      <c r="AQ179" s="190">
        <f t="shared" si="162"/>
        <v>0</v>
      </c>
      <c r="AR179" s="190">
        <f t="shared" si="162"/>
        <v>0</v>
      </c>
      <c r="AS179" s="190">
        <f t="shared" si="162"/>
        <v>0</v>
      </c>
      <c r="AT179" s="190">
        <f t="shared" si="162"/>
        <v>0</v>
      </c>
      <c r="AU179" s="190">
        <f t="shared" si="162"/>
        <v>0</v>
      </c>
      <c r="AV179" s="190">
        <f t="shared" si="162"/>
        <v>0</v>
      </c>
    </row>
    <row r="180" spans="1:48">
      <c r="A180" s="4" t="s">
        <v>17</v>
      </c>
      <c r="B180" s="96" t="str">
        <f t="shared" si="157"/>
        <v>CNG</v>
      </c>
      <c r="C180" s="96" t="str">
        <f t="shared" si="158"/>
        <v>Commercial - Public lights</v>
      </c>
      <c r="E180" s="123"/>
      <c r="F180" s="123"/>
      <c r="I180" s="187"/>
      <c r="J180" s="190">
        <f t="shared" si="159"/>
        <v>0</v>
      </c>
      <c r="K180" s="190">
        <f t="shared" si="159"/>
        <v>0</v>
      </c>
      <c r="L180" s="190">
        <f t="shared" si="159"/>
        <v>0</v>
      </c>
      <c r="M180" s="190">
        <f t="shared" si="159"/>
        <v>0</v>
      </c>
      <c r="N180" s="190">
        <f t="shared" si="159"/>
        <v>0</v>
      </c>
      <c r="O180" s="190">
        <f t="shared" si="159"/>
        <v>0</v>
      </c>
      <c r="P180" s="190">
        <f t="shared" si="159"/>
        <v>0</v>
      </c>
      <c r="Q180" s="190">
        <f t="shared" si="159"/>
        <v>0</v>
      </c>
      <c r="R180" s="190">
        <f t="shared" si="159"/>
        <v>0</v>
      </c>
      <c r="S180" s="190">
        <f t="shared" si="159"/>
        <v>0</v>
      </c>
      <c r="T180" s="190">
        <f t="shared" si="160"/>
        <v>0</v>
      </c>
      <c r="U180" s="190">
        <f t="shared" si="160"/>
        <v>0</v>
      </c>
      <c r="V180" s="190">
        <f t="shared" si="160"/>
        <v>0</v>
      </c>
      <c r="W180" s="190">
        <f t="shared" si="160"/>
        <v>0</v>
      </c>
      <c r="X180" s="190">
        <f t="shared" si="160"/>
        <v>0</v>
      </c>
      <c r="Y180" s="190">
        <f t="shared" si="160"/>
        <v>0</v>
      </c>
      <c r="Z180" s="190">
        <f t="shared" si="160"/>
        <v>0</v>
      </c>
      <c r="AA180" s="190">
        <f t="shared" si="160"/>
        <v>0</v>
      </c>
      <c r="AB180" s="190">
        <f t="shared" si="160"/>
        <v>0</v>
      </c>
      <c r="AC180" s="190">
        <f t="shared" si="160"/>
        <v>0</v>
      </c>
      <c r="AD180" s="190">
        <f t="shared" si="161"/>
        <v>0</v>
      </c>
      <c r="AE180" s="190">
        <f t="shared" si="161"/>
        <v>0</v>
      </c>
      <c r="AF180" s="190">
        <f t="shared" si="161"/>
        <v>0</v>
      </c>
      <c r="AG180" s="190">
        <f t="shared" si="161"/>
        <v>0</v>
      </c>
      <c r="AH180" s="190">
        <f t="shared" si="161"/>
        <v>0</v>
      </c>
      <c r="AI180" s="190">
        <f t="shared" si="161"/>
        <v>0</v>
      </c>
      <c r="AJ180" s="190">
        <f t="shared" si="161"/>
        <v>0</v>
      </c>
      <c r="AK180" s="190">
        <f t="shared" si="161"/>
        <v>0</v>
      </c>
      <c r="AL180" s="190">
        <f t="shared" si="161"/>
        <v>0</v>
      </c>
      <c r="AM180" s="190">
        <f t="shared" si="161"/>
        <v>0</v>
      </c>
      <c r="AN180" s="190">
        <f t="shared" si="162"/>
        <v>0</v>
      </c>
      <c r="AO180" s="190">
        <f t="shared" si="162"/>
        <v>0</v>
      </c>
      <c r="AP180" s="190">
        <f t="shared" si="162"/>
        <v>0</v>
      </c>
      <c r="AQ180" s="190">
        <f t="shared" si="162"/>
        <v>0</v>
      </c>
      <c r="AR180" s="190">
        <f t="shared" si="162"/>
        <v>0</v>
      </c>
      <c r="AS180" s="190">
        <f t="shared" si="162"/>
        <v>0</v>
      </c>
      <c r="AT180" s="190">
        <f t="shared" si="162"/>
        <v>0</v>
      </c>
      <c r="AU180" s="190">
        <f t="shared" si="162"/>
        <v>0</v>
      </c>
      <c r="AV180" s="190">
        <f t="shared" si="162"/>
        <v>0</v>
      </c>
    </row>
    <row r="181" spans="1:48">
      <c r="A181" s="4" t="s">
        <v>17</v>
      </c>
      <c r="B181" s="96" t="str">
        <f t="shared" si="157"/>
        <v>CNT</v>
      </c>
      <c r="C181" s="96" t="str">
        <f t="shared" si="158"/>
        <v>Commercial - Public Water</v>
      </c>
      <c r="E181" s="123"/>
      <c r="F181" s="123"/>
      <c r="I181" s="187"/>
      <c r="J181" s="190">
        <f t="shared" si="159"/>
        <v>0</v>
      </c>
      <c r="K181" s="190">
        <f t="shared" si="159"/>
        <v>0</v>
      </c>
      <c r="L181" s="190">
        <f t="shared" si="159"/>
        <v>0</v>
      </c>
      <c r="M181" s="190">
        <f t="shared" si="159"/>
        <v>0</v>
      </c>
      <c r="N181" s="190">
        <f t="shared" si="159"/>
        <v>0</v>
      </c>
      <c r="O181" s="190">
        <f t="shared" si="159"/>
        <v>0</v>
      </c>
      <c r="P181" s="190">
        <f t="shared" si="159"/>
        <v>0</v>
      </c>
      <c r="Q181" s="190">
        <f t="shared" si="159"/>
        <v>0</v>
      </c>
      <c r="R181" s="190">
        <f t="shared" si="159"/>
        <v>0</v>
      </c>
      <c r="S181" s="190">
        <f t="shared" si="159"/>
        <v>0</v>
      </c>
      <c r="T181" s="190">
        <f t="shared" si="160"/>
        <v>0</v>
      </c>
      <c r="U181" s="190">
        <f t="shared" si="160"/>
        <v>0</v>
      </c>
      <c r="V181" s="190">
        <f t="shared" si="160"/>
        <v>0</v>
      </c>
      <c r="W181" s="190">
        <f t="shared" si="160"/>
        <v>0</v>
      </c>
      <c r="X181" s="190">
        <f t="shared" si="160"/>
        <v>0</v>
      </c>
      <c r="Y181" s="190">
        <f t="shared" si="160"/>
        <v>0</v>
      </c>
      <c r="Z181" s="190">
        <f t="shared" si="160"/>
        <v>0</v>
      </c>
      <c r="AA181" s="190">
        <f t="shared" si="160"/>
        <v>0</v>
      </c>
      <c r="AB181" s="190">
        <f t="shared" si="160"/>
        <v>0</v>
      </c>
      <c r="AC181" s="190">
        <f t="shared" si="160"/>
        <v>0</v>
      </c>
      <c r="AD181" s="190">
        <f t="shared" si="161"/>
        <v>0</v>
      </c>
      <c r="AE181" s="190">
        <f t="shared" si="161"/>
        <v>0</v>
      </c>
      <c r="AF181" s="190">
        <f t="shared" si="161"/>
        <v>0</v>
      </c>
      <c r="AG181" s="190">
        <f t="shared" si="161"/>
        <v>0</v>
      </c>
      <c r="AH181" s="190">
        <f t="shared" si="161"/>
        <v>0</v>
      </c>
      <c r="AI181" s="190">
        <f t="shared" si="161"/>
        <v>0</v>
      </c>
      <c r="AJ181" s="190">
        <f t="shared" si="161"/>
        <v>0</v>
      </c>
      <c r="AK181" s="190">
        <f t="shared" si="161"/>
        <v>0</v>
      </c>
      <c r="AL181" s="190">
        <f t="shared" si="161"/>
        <v>0</v>
      </c>
      <c r="AM181" s="190">
        <f t="shared" si="161"/>
        <v>0</v>
      </c>
      <c r="AN181" s="190">
        <f t="shared" si="162"/>
        <v>0</v>
      </c>
      <c r="AO181" s="190">
        <f t="shared" si="162"/>
        <v>0</v>
      </c>
      <c r="AP181" s="190">
        <f t="shared" si="162"/>
        <v>0</v>
      </c>
      <c r="AQ181" s="190">
        <f t="shared" si="162"/>
        <v>0</v>
      </c>
      <c r="AR181" s="190">
        <f t="shared" si="162"/>
        <v>0</v>
      </c>
      <c r="AS181" s="190">
        <f t="shared" si="162"/>
        <v>0</v>
      </c>
      <c r="AT181" s="190">
        <f t="shared" si="162"/>
        <v>0</v>
      </c>
      <c r="AU181" s="190">
        <f t="shared" si="162"/>
        <v>0</v>
      </c>
      <c r="AV181" s="190">
        <f t="shared" si="162"/>
        <v>0</v>
      </c>
    </row>
    <row r="182" spans="1:48">
      <c r="A182" s="4" t="s">
        <v>17</v>
      </c>
      <c r="B182" s="96" t="str">
        <f t="shared" si="157"/>
        <v>CNO</v>
      </c>
      <c r="C182" s="96" t="str">
        <f t="shared" si="158"/>
        <v>Commercial - Other</v>
      </c>
      <c r="E182" s="123"/>
      <c r="F182" s="123"/>
      <c r="I182" s="187"/>
      <c r="J182" s="190">
        <f t="shared" si="159"/>
        <v>0</v>
      </c>
      <c r="K182" s="190">
        <f t="shared" si="159"/>
        <v>0</v>
      </c>
      <c r="L182" s="190">
        <f t="shared" si="159"/>
        <v>0</v>
      </c>
      <c r="M182" s="190">
        <f t="shared" si="159"/>
        <v>0</v>
      </c>
      <c r="N182" s="190">
        <f t="shared" si="159"/>
        <v>0</v>
      </c>
      <c r="O182" s="190">
        <f t="shared" si="159"/>
        <v>0</v>
      </c>
      <c r="P182" s="190">
        <f t="shared" si="159"/>
        <v>0</v>
      </c>
      <c r="Q182" s="190">
        <f t="shared" si="159"/>
        <v>0</v>
      </c>
      <c r="R182" s="190">
        <f t="shared" si="159"/>
        <v>0</v>
      </c>
      <c r="S182" s="190">
        <f t="shared" si="159"/>
        <v>0</v>
      </c>
      <c r="T182" s="190">
        <f t="shared" si="160"/>
        <v>0</v>
      </c>
      <c r="U182" s="190">
        <f t="shared" si="160"/>
        <v>0</v>
      </c>
      <c r="V182" s="190">
        <f t="shared" si="160"/>
        <v>0</v>
      </c>
      <c r="W182" s="190">
        <f t="shared" si="160"/>
        <v>0</v>
      </c>
      <c r="X182" s="190">
        <f t="shared" si="160"/>
        <v>0</v>
      </c>
      <c r="Y182" s="190">
        <f t="shared" si="160"/>
        <v>0</v>
      </c>
      <c r="Z182" s="190">
        <f t="shared" si="160"/>
        <v>0</v>
      </c>
      <c r="AA182" s="190">
        <f t="shared" si="160"/>
        <v>0</v>
      </c>
      <c r="AB182" s="190">
        <f t="shared" si="160"/>
        <v>0</v>
      </c>
      <c r="AC182" s="190">
        <f t="shared" si="160"/>
        <v>0</v>
      </c>
      <c r="AD182" s="190">
        <f t="shared" si="161"/>
        <v>0</v>
      </c>
      <c r="AE182" s="190">
        <f t="shared" si="161"/>
        <v>0</v>
      </c>
      <c r="AF182" s="190">
        <f t="shared" si="161"/>
        <v>0</v>
      </c>
      <c r="AG182" s="190">
        <f t="shared" si="161"/>
        <v>0</v>
      </c>
      <c r="AH182" s="190">
        <f t="shared" si="161"/>
        <v>0</v>
      </c>
      <c r="AI182" s="190">
        <f t="shared" si="161"/>
        <v>0</v>
      </c>
      <c r="AJ182" s="190">
        <f t="shared" si="161"/>
        <v>0</v>
      </c>
      <c r="AK182" s="190">
        <f t="shared" si="161"/>
        <v>0</v>
      </c>
      <c r="AL182" s="190">
        <f t="shared" si="161"/>
        <v>0</v>
      </c>
      <c r="AM182" s="190">
        <f t="shared" si="161"/>
        <v>0</v>
      </c>
      <c r="AN182" s="190">
        <f t="shared" si="162"/>
        <v>0</v>
      </c>
      <c r="AO182" s="190">
        <f t="shared" si="162"/>
        <v>0</v>
      </c>
      <c r="AP182" s="190">
        <f t="shared" si="162"/>
        <v>0</v>
      </c>
      <c r="AQ182" s="190">
        <f t="shared" si="162"/>
        <v>0</v>
      </c>
      <c r="AR182" s="190">
        <f t="shared" si="162"/>
        <v>0</v>
      </c>
      <c r="AS182" s="190">
        <f t="shared" si="162"/>
        <v>0</v>
      </c>
      <c r="AT182" s="190">
        <f t="shared" si="162"/>
        <v>0</v>
      </c>
      <c r="AU182" s="190">
        <f t="shared" si="162"/>
        <v>0</v>
      </c>
      <c r="AV182" s="190">
        <f t="shared" si="162"/>
        <v>0</v>
      </c>
    </row>
    <row r="183" spans="1:48">
      <c r="A183" s="4" t="s">
        <v>17</v>
      </c>
      <c r="E183" s="123"/>
      <c r="F183" s="123"/>
      <c r="I183" s="187"/>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row>
    <row r="184" spans="1:48">
      <c r="A184" s="4" t="s">
        <v>17</v>
      </c>
      <c r="E184" s="123"/>
      <c r="F184" s="123"/>
      <c r="I184" s="187"/>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row>
    <row r="185" spans="1:48" ht="15" thickBot="1">
      <c r="A185" s="4" t="s">
        <v>17</v>
      </c>
      <c r="B185" s="94" t="s">
        <v>519</v>
      </c>
      <c r="C185" s="94"/>
      <c r="D185" s="94"/>
      <c r="E185" s="94"/>
      <c r="F185" s="94"/>
      <c r="G185" s="94"/>
      <c r="H185" s="94"/>
      <c r="I185" s="187" t="s">
        <v>232</v>
      </c>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row>
    <row r="186" spans="1:48">
      <c r="A186" s="4" t="s">
        <v>17</v>
      </c>
      <c r="B186" s="96" t="str">
        <f t="shared" ref="B186:C194" si="163">B174</f>
        <v>CNC</v>
      </c>
      <c r="C186" s="96" t="str">
        <f t="shared" si="163"/>
        <v>Commercial - Cooling</v>
      </c>
      <c r="E186" s="123"/>
      <c r="F186" s="123"/>
      <c r="I186" s="187"/>
      <c r="J186" s="190">
        <f t="shared" ref="J186:S194" si="164">INDEX(J$49:J$52,MATCH($I$185,$B$49:$B$52,0),1)*INDEX(J$81:J$89,MATCH($B186,$B$81:$B$89,0))*INDEX(J$116:J$124,MATCH($B186,$B$116:$B$124,0))/1000</f>
        <v>0</v>
      </c>
      <c r="K186" s="190">
        <f t="shared" si="164"/>
        <v>0</v>
      </c>
      <c r="L186" s="190">
        <f t="shared" si="164"/>
        <v>0</v>
      </c>
      <c r="M186" s="190">
        <f t="shared" si="164"/>
        <v>0</v>
      </c>
      <c r="N186" s="190">
        <f t="shared" si="164"/>
        <v>0</v>
      </c>
      <c r="O186" s="190">
        <f t="shared" si="164"/>
        <v>0</v>
      </c>
      <c r="P186" s="190">
        <f>INDEX(P$49:P$52,MATCH($I$185,$B$49:$B$52,0),1)*INDEX(P$81:P$89,MATCH($B186,$B$81:$B$89,0))*INDEX(P$116:P$124,MATCH($B186,$B$116:$B$124,0))/1000</f>
        <v>1.4912179058134039</v>
      </c>
      <c r="Q186" s="190">
        <f t="shared" si="164"/>
        <v>2.9788274132314947</v>
      </c>
      <c r="R186" s="190">
        <f t="shared" si="164"/>
        <v>4.4628965129105538</v>
      </c>
      <c r="S186" s="190">
        <f t="shared" si="164"/>
        <v>5.9434911166665101</v>
      </c>
      <c r="T186" s="190">
        <f t="shared" ref="T186:AC194" si="165">INDEX(T$49:T$52,MATCH($I$185,$B$49:$B$52,0),1)*INDEX(T$81:T$89,MATCH($B186,$B$81:$B$89,0))*INDEX(T$116:T$124,MATCH($B186,$B$116:$B$124,0))/1000</f>
        <v>7.4206751448510868</v>
      </c>
      <c r="U186" s="190">
        <f t="shared" si="165"/>
        <v>9.0801824141331462</v>
      </c>
      <c r="V186" s="190">
        <f>INDEX(V$49:V$52,MATCH($I$185,$B$49:$B$52,0),1)*INDEX(V$81:V$89,MATCH($B186,$B$81:$B$89,0))*INDEX(V$116:V$124,MATCH($B186,$B$116:$B$124,0))/1000</f>
        <v>10.733606600101652</v>
      </c>
      <c r="W186" s="190">
        <f t="shared" si="165"/>
        <v>12.381093798362846</v>
      </c>
      <c r="X186" s="190">
        <f t="shared" si="165"/>
        <v>14.022784429549574</v>
      </c>
      <c r="Y186" s="190">
        <f t="shared" si="165"/>
        <v>15.658813541388783</v>
      </c>
      <c r="Z186" s="190">
        <f t="shared" si="165"/>
        <v>17.528573446646845</v>
      </c>
      <c r="AA186" s="190">
        <f t="shared" si="165"/>
        <v>19.388413822792849</v>
      </c>
      <c r="AB186" s="190">
        <f t="shared" si="165"/>
        <v>21.238631987083792</v>
      </c>
      <c r="AC186" s="190">
        <f t="shared" si="165"/>
        <v>21.238631987083792</v>
      </c>
      <c r="AD186" s="190">
        <f t="shared" ref="AD186:AM194" si="166">INDEX(AD$49:AD$52,MATCH($I$185,$B$49:$B$52,0),1)*INDEX(AD$81:AD$89,MATCH($B186,$B$81:$B$89,0))*INDEX(AD$116:AD$124,MATCH($B186,$B$116:$B$124,0))/1000</f>
        <v>21.238631987083792</v>
      </c>
      <c r="AE186" s="190">
        <f t="shared" si="166"/>
        <v>21.238631987083792</v>
      </c>
      <c r="AF186" s="190">
        <f t="shared" si="166"/>
        <v>21.238631987083792</v>
      </c>
      <c r="AG186" s="190">
        <f t="shared" si="166"/>
        <v>21.238631987083792</v>
      </c>
      <c r="AH186" s="190">
        <f t="shared" si="166"/>
        <v>21.238631987083792</v>
      </c>
      <c r="AI186" s="190">
        <f t="shared" si="166"/>
        <v>21.238631987083792</v>
      </c>
      <c r="AJ186" s="190">
        <f t="shared" si="166"/>
        <v>21.238631987083792</v>
      </c>
      <c r="AK186" s="190">
        <f t="shared" si="166"/>
        <v>21.238631987083792</v>
      </c>
      <c r="AL186" s="190">
        <f t="shared" si="166"/>
        <v>21.238631987083792</v>
      </c>
      <c r="AM186" s="190">
        <f t="shared" si="166"/>
        <v>21.238631987083792</v>
      </c>
      <c r="AN186" s="190">
        <f t="shared" ref="AN186:AV194" si="167">INDEX(AN$49:AN$52,MATCH($I$185,$B$49:$B$52,0),1)*INDEX(AN$81:AN$89,MATCH($B186,$B$81:$B$89,0))*INDEX(AN$116:AN$124,MATCH($B186,$B$116:$B$124,0))/1000</f>
        <v>21.238631987083792</v>
      </c>
      <c r="AO186" s="190">
        <f t="shared" si="167"/>
        <v>21.238631987083792</v>
      </c>
      <c r="AP186" s="190">
        <f t="shared" si="167"/>
        <v>21.238631987083792</v>
      </c>
      <c r="AQ186" s="190">
        <f t="shared" si="167"/>
        <v>21.238631987083792</v>
      </c>
      <c r="AR186" s="190">
        <f t="shared" si="167"/>
        <v>21.238631987083792</v>
      </c>
      <c r="AS186" s="190">
        <f t="shared" si="167"/>
        <v>21.238631987083792</v>
      </c>
      <c r="AT186" s="190">
        <f t="shared" si="167"/>
        <v>21.238631987083792</v>
      </c>
      <c r="AU186" s="190">
        <f t="shared" si="167"/>
        <v>21.238631987083792</v>
      </c>
      <c r="AV186" s="190">
        <f t="shared" si="167"/>
        <v>21.238631987083792</v>
      </c>
    </row>
    <row r="187" spans="1:48">
      <c r="A187" s="4" t="s">
        <v>17</v>
      </c>
      <c r="B187" s="96" t="str">
        <f t="shared" si="163"/>
        <v>CNH</v>
      </c>
      <c r="C187" s="96" t="str">
        <f t="shared" si="163"/>
        <v>Commercial - Space Heating</v>
      </c>
      <c r="E187" s="123"/>
      <c r="F187" s="123"/>
      <c r="I187" s="187"/>
      <c r="J187" s="190">
        <f t="shared" si="164"/>
        <v>0</v>
      </c>
      <c r="K187" s="190">
        <f t="shared" si="164"/>
        <v>0</v>
      </c>
      <c r="L187" s="190">
        <f t="shared" si="164"/>
        <v>0</v>
      </c>
      <c r="M187" s="190">
        <f t="shared" si="164"/>
        <v>0</v>
      </c>
      <c r="N187" s="190">
        <f t="shared" si="164"/>
        <v>0</v>
      </c>
      <c r="O187" s="190">
        <f t="shared" si="164"/>
        <v>0</v>
      </c>
      <c r="P187" s="190">
        <f t="shared" si="164"/>
        <v>0.14221199111343469</v>
      </c>
      <c r="Q187" s="190">
        <f t="shared" si="164"/>
        <v>0.28407986248519546</v>
      </c>
      <c r="R187" s="190">
        <f t="shared" si="164"/>
        <v>0.42561009813520273</v>
      </c>
      <c r="S187" s="190">
        <f t="shared" si="164"/>
        <v>0.56680898383198464</v>
      </c>
      <c r="T187" s="190">
        <f t="shared" si="165"/>
        <v>0.70768261542542077</v>
      </c>
      <c r="U187" s="190">
        <f t="shared" si="165"/>
        <v>0.86594374688835762</v>
      </c>
      <c r="V187" s="190">
        <f t="shared" si="165"/>
        <v>1.0236247569708061</v>
      </c>
      <c r="W187" s="190">
        <f t="shared" si="165"/>
        <v>1.1807395782757586</v>
      </c>
      <c r="X187" s="190">
        <f t="shared" si="165"/>
        <v>1.3373016022047752</v>
      </c>
      <c r="Y187" s="190">
        <f t="shared" si="165"/>
        <v>1.4933237077650547</v>
      </c>
      <c r="Z187" s="190">
        <f t="shared" si="165"/>
        <v>1.6716358632147816</v>
      </c>
      <c r="AA187" s="190">
        <f t="shared" si="165"/>
        <v>1.8490020294965714</v>
      </c>
      <c r="AB187" s="190">
        <f t="shared" si="165"/>
        <v>2.0254505606685034</v>
      </c>
      <c r="AC187" s="190">
        <f t="shared" si="165"/>
        <v>2.0254505606685034</v>
      </c>
      <c r="AD187" s="190">
        <f t="shared" si="166"/>
        <v>2.0254505606685034</v>
      </c>
      <c r="AE187" s="190">
        <f t="shared" si="166"/>
        <v>2.0254505606685034</v>
      </c>
      <c r="AF187" s="190">
        <f t="shared" si="166"/>
        <v>2.0254505606685034</v>
      </c>
      <c r="AG187" s="190">
        <f t="shared" si="166"/>
        <v>2.0254505606685034</v>
      </c>
      <c r="AH187" s="190">
        <f t="shared" si="166"/>
        <v>2.0254505606685034</v>
      </c>
      <c r="AI187" s="190">
        <f t="shared" si="166"/>
        <v>2.0254505606685034</v>
      </c>
      <c r="AJ187" s="190">
        <f t="shared" si="166"/>
        <v>2.0254505606685034</v>
      </c>
      <c r="AK187" s="190">
        <f t="shared" si="166"/>
        <v>2.0254505606685034</v>
      </c>
      <c r="AL187" s="190">
        <f t="shared" si="166"/>
        <v>2.0254505606685034</v>
      </c>
      <c r="AM187" s="190">
        <f t="shared" si="166"/>
        <v>2.0254505606685034</v>
      </c>
      <c r="AN187" s="190">
        <f t="shared" si="167"/>
        <v>2.0254505606685034</v>
      </c>
      <c r="AO187" s="190">
        <f t="shared" si="167"/>
        <v>2.0254505606685034</v>
      </c>
      <c r="AP187" s="190">
        <f t="shared" si="167"/>
        <v>2.0254505606685034</v>
      </c>
      <c r="AQ187" s="190">
        <f t="shared" si="167"/>
        <v>2.0254505606685034</v>
      </c>
      <c r="AR187" s="190">
        <f t="shared" si="167"/>
        <v>2.0254505606685034</v>
      </c>
      <c r="AS187" s="190">
        <f t="shared" si="167"/>
        <v>2.0254505606685034</v>
      </c>
      <c r="AT187" s="190">
        <f t="shared" si="167"/>
        <v>2.0254505606685034</v>
      </c>
      <c r="AU187" s="190">
        <f t="shared" si="167"/>
        <v>2.0254505606685034</v>
      </c>
      <c r="AV187" s="190">
        <f t="shared" si="167"/>
        <v>2.0254505606685034</v>
      </c>
    </row>
    <row r="188" spans="1:48">
      <c r="A188" s="4" t="s">
        <v>17</v>
      </c>
      <c r="B188" s="96" t="str">
        <f t="shared" si="163"/>
        <v>CNK</v>
      </c>
      <c r="C188" s="96" t="str">
        <f t="shared" si="163"/>
        <v>Commercial - Cooking</v>
      </c>
      <c r="E188" s="123"/>
      <c r="F188" s="123"/>
      <c r="I188" s="187"/>
      <c r="J188" s="190">
        <f t="shared" si="164"/>
        <v>0</v>
      </c>
      <c r="K188" s="190">
        <f t="shared" si="164"/>
        <v>0</v>
      </c>
      <c r="L188" s="190">
        <f t="shared" si="164"/>
        <v>0</v>
      </c>
      <c r="M188" s="190">
        <f t="shared" si="164"/>
        <v>0</v>
      </c>
      <c r="N188" s="190">
        <f t="shared" si="164"/>
        <v>0</v>
      </c>
      <c r="O188" s="190">
        <f t="shared" si="164"/>
        <v>0</v>
      </c>
      <c r="P188" s="190">
        <f t="shared" si="164"/>
        <v>0.1063672851732594</v>
      </c>
      <c r="Q188" s="190">
        <f t="shared" si="164"/>
        <v>0.21247718640575686</v>
      </c>
      <c r="R188" s="190">
        <f t="shared" si="164"/>
        <v>0.31833455341227768</v>
      </c>
      <c r="S188" s="190">
        <f t="shared" si="164"/>
        <v>0.42394408762572017</v>
      </c>
      <c r="T188" s="190">
        <f t="shared" si="165"/>
        <v>0.52931034842956137</v>
      </c>
      <c r="U188" s="190">
        <f t="shared" si="165"/>
        <v>0.64768156853809289</v>
      </c>
      <c r="V188" s="190">
        <f t="shared" si="165"/>
        <v>0.76561888756816809</v>
      </c>
      <c r="W188" s="190">
        <f t="shared" si="165"/>
        <v>0.88313272639318985</v>
      </c>
      <c r="X188" s="190">
        <f t="shared" si="165"/>
        <v>1.0002331010956094</v>
      </c>
      <c r="Y188" s="190">
        <f t="shared" si="165"/>
        <v>1.1169296445131416</v>
      </c>
      <c r="Z188" s="190">
        <f t="shared" si="165"/>
        <v>1.250298003538866</v>
      </c>
      <c r="AA188" s="190">
        <f t="shared" si="165"/>
        <v>1.3829588111210798</v>
      </c>
      <c r="AB188" s="190">
        <f t="shared" si="165"/>
        <v>1.5149332746429156</v>
      </c>
      <c r="AC188" s="190">
        <f t="shared" si="165"/>
        <v>1.5149332746429156</v>
      </c>
      <c r="AD188" s="190">
        <f t="shared" si="166"/>
        <v>1.5149332746429156</v>
      </c>
      <c r="AE188" s="190">
        <f t="shared" si="166"/>
        <v>1.5149332746429156</v>
      </c>
      <c r="AF188" s="190">
        <f t="shared" si="166"/>
        <v>1.5149332746429156</v>
      </c>
      <c r="AG188" s="190">
        <f t="shared" si="166"/>
        <v>1.5149332746429156</v>
      </c>
      <c r="AH188" s="190">
        <f t="shared" si="166"/>
        <v>1.5149332746429156</v>
      </c>
      <c r="AI188" s="190">
        <f t="shared" si="166"/>
        <v>1.5149332746429156</v>
      </c>
      <c r="AJ188" s="190">
        <f t="shared" si="166"/>
        <v>1.5149332746429156</v>
      </c>
      <c r="AK188" s="190">
        <f t="shared" si="166"/>
        <v>1.5149332746429156</v>
      </c>
      <c r="AL188" s="190">
        <f t="shared" si="166"/>
        <v>1.5149332746429156</v>
      </c>
      <c r="AM188" s="190">
        <f t="shared" si="166"/>
        <v>1.5149332746429156</v>
      </c>
      <c r="AN188" s="190">
        <f t="shared" si="167"/>
        <v>1.5149332746429156</v>
      </c>
      <c r="AO188" s="190">
        <f t="shared" si="167"/>
        <v>1.5149332746429156</v>
      </c>
      <c r="AP188" s="190">
        <f t="shared" si="167"/>
        <v>1.5149332746429156</v>
      </c>
      <c r="AQ188" s="190">
        <f t="shared" si="167"/>
        <v>1.5149332746429156</v>
      </c>
      <c r="AR188" s="190">
        <f t="shared" si="167"/>
        <v>1.5149332746429156</v>
      </c>
      <c r="AS188" s="190">
        <f t="shared" si="167"/>
        <v>1.5149332746429156</v>
      </c>
      <c r="AT188" s="190">
        <f t="shared" si="167"/>
        <v>1.5149332746429156</v>
      </c>
      <c r="AU188" s="190">
        <f t="shared" si="167"/>
        <v>1.5149332746429156</v>
      </c>
      <c r="AV188" s="190">
        <f t="shared" si="167"/>
        <v>1.5149332746429156</v>
      </c>
    </row>
    <row r="189" spans="1:48">
      <c r="A189" s="4" t="s">
        <v>17</v>
      </c>
      <c r="B189" s="96" t="str">
        <f t="shared" si="163"/>
        <v>CNL</v>
      </c>
      <c r="C189" s="96" t="str">
        <f t="shared" si="163"/>
        <v>Commercial - Lighting</v>
      </c>
      <c r="E189" s="123"/>
      <c r="F189" s="123"/>
      <c r="I189" s="187"/>
      <c r="J189" s="190">
        <f t="shared" si="164"/>
        <v>0</v>
      </c>
      <c r="K189" s="190">
        <f t="shared" si="164"/>
        <v>0</v>
      </c>
      <c r="L189" s="190">
        <f t="shared" si="164"/>
        <v>0</v>
      </c>
      <c r="M189" s="190">
        <f t="shared" si="164"/>
        <v>0</v>
      </c>
      <c r="N189" s="190">
        <f t="shared" si="164"/>
        <v>0</v>
      </c>
      <c r="O189" s="190">
        <f t="shared" si="164"/>
        <v>0</v>
      </c>
      <c r="P189" s="190">
        <f t="shared" si="164"/>
        <v>1.2977039035729891</v>
      </c>
      <c r="Q189" s="190">
        <f t="shared" si="164"/>
        <v>2.5922676673548795</v>
      </c>
      <c r="R189" s="190">
        <f t="shared" si="164"/>
        <v>3.883750458915828</v>
      </c>
      <c r="S189" s="190">
        <f t="shared" si="164"/>
        <v>5.1722096367548778</v>
      </c>
      <c r="T189" s="190">
        <f t="shared" si="165"/>
        <v>6.4577008263373781</v>
      </c>
      <c r="U189" s="190">
        <f t="shared" si="165"/>
        <v>7.9018553345146394</v>
      </c>
      <c r="V189" s="190">
        <f t="shared" si="165"/>
        <v>9.3407161556117035</v>
      </c>
      <c r="W189" s="190">
        <f t="shared" si="165"/>
        <v>10.774410426539808</v>
      </c>
      <c r="X189" s="190">
        <f t="shared" si="165"/>
        <v>12.203060345672958</v>
      </c>
      <c r="Y189" s="190">
        <f t="shared" si="165"/>
        <v>13.626783435716412</v>
      </c>
      <c r="Z189" s="190">
        <f t="shared" si="165"/>
        <v>15.253906284991844</v>
      </c>
      <c r="AA189" s="190">
        <f t="shared" si="165"/>
        <v>16.872396853498557</v>
      </c>
      <c r="AB189" s="190">
        <f t="shared" si="165"/>
        <v>18.482513875901351</v>
      </c>
      <c r="AC189" s="190">
        <f t="shared" si="165"/>
        <v>18.482513875901351</v>
      </c>
      <c r="AD189" s="190">
        <f t="shared" si="166"/>
        <v>18.482513875901351</v>
      </c>
      <c r="AE189" s="190">
        <f t="shared" si="166"/>
        <v>18.482513875901351</v>
      </c>
      <c r="AF189" s="190">
        <f t="shared" si="166"/>
        <v>18.482513875901351</v>
      </c>
      <c r="AG189" s="190">
        <f t="shared" si="166"/>
        <v>18.482513875901351</v>
      </c>
      <c r="AH189" s="190">
        <f t="shared" si="166"/>
        <v>18.482513875901351</v>
      </c>
      <c r="AI189" s="190">
        <f t="shared" si="166"/>
        <v>18.482513875901351</v>
      </c>
      <c r="AJ189" s="190">
        <f t="shared" si="166"/>
        <v>18.482513875901351</v>
      </c>
      <c r="AK189" s="190">
        <f t="shared" si="166"/>
        <v>18.482513875901351</v>
      </c>
      <c r="AL189" s="190">
        <f t="shared" si="166"/>
        <v>18.482513875901351</v>
      </c>
      <c r="AM189" s="190">
        <f t="shared" si="166"/>
        <v>18.482513875901351</v>
      </c>
      <c r="AN189" s="190">
        <f t="shared" si="167"/>
        <v>18.482513875901351</v>
      </c>
      <c r="AO189" s="190">
        <f t="shared" si="167"/>
        <v>18.482513875901351</v>
      </c>
      <c r="AP189" s="190">
        <f t="shared" si="167"/>
        <v>18.482513875901351</v>
      </c>
      <c r="AQ189" s="190">
        <f t="shared" si="167"/>
        <v>18.482513875901351</v>
      </c>
      <c r="AR189" s="190">
        <f t="shared" si="167"/>
        <v>18.482513875901351</v>
      </c>
      <c r="AS189" s="190">
        <f t="shared" si="167"/>
        <v>18.482513875901351</v>
      </c>
      <c r="AT189" s="190">
        <f t="shared" si="167"/>
        <v>18.482513875901351</v>
      </c>
      <c r="AU189" s="190">
        <f t="shared" si="167"/>
        <v>18.482513875901351</v>
      </c>
      <c r="AV189" s="190">
        <f t="shared" si="167"/>
        <v>18.482513875901351</v>
      </c>
    </row>
    <row r="190" spans="1:48">
      <c r="A190" s="4" t="s">
        <v>17</v>
      </c>
      <c r="B190" s="96" t="str">
        <f t="shared" si="163"/>
        <v>CNR</v>
      </c>
      <c r="C190" s="96" t="str">
        <f t="shared" si="163"/>
        <v>Commercial - Refrigeration</v>
      </c>
      <c r="E190" s="123"/>
      <c r="F190" s="123"/>
      <c r="I190" s="187"/>
      <c r="J190" s="190">
        <f t="shared" si="164"/>
        <v>0</v>
      </c>
      <c r="K190" s="190">
        <f t="shared" si="164"/>
        <v>0</v>
      </c>
      <c r="L190" s="190">
        <f t="shared" si="164"/>
        <v>0</v>
      </c>
      <c r="M190" s="190">
        <f t="shared" si="164"/>
        <v>0</v>
      </c>
      <c r="N190" s="190">
        <f t="shared" si="164"/>
        <v>0</v>
      </c>
      <c r="O190" s="190">
        <f t="shared" si="164"/>
        <v>0</v>
      </c>
      <c r="P190" s="190">
        <f t="shared" si="164"/>
        <v>0.31568483105210576</v>
      </c>
      <c r="Q190" s="190">
        <f t="shared" si="164"/>
        <v>0.63060577868157275</v>
      </c>
      <c r="R190" s="190">
        <f t="shared" si="164"/>
        <v>0.94477723623678911</v>
      </c>
      <c r="S190" s="190">
        <f t="shared" si="164"/>
        <v>1.2582131569840045</v>
      </c>
      <c r="T190" s="190">
        <f t="shared" si="165"/>
        <v>1.5709270726045084</v>
      </c>
      <c r="U190" s="190">
        <f t="shared" si="165"/>
        <v>1.9222380848252816</v>
      </c>
      <c r="V190" s="190">
        <f t="shared" si="165"/>
        <v>2.2722613327826098</v>
      </c>
      <c r="W190" s="190">
        <f t="shared" si="165"/>
        <v>2.6210277443285501</v>
      </c>
      <c r="X190" s="190">
        <f t="shared" si="165"/>
        <v>2.9685670459461213</v>
      </c>
      <c r="Y190" s="190">
        <f t="shared" si="165"/>
        <v>3.314907826695781</v>
      </c>
      <c r="Z190" s="190">
        <f t="shared" si="165"/>
        <v>3.7107284760444292</v>
      </c>
      <c r="AA190" s="190">
        <f t="shared" si="165"/>
        <v>4.1044492009892393</v>
      </c>
      <c r="AB190" s="190">
        <f t="shared" si="165"/>
        <v>4.4961329423973249</v>
      </c>
      <c r="AC190" s="190">
        <f t="shared" si="165"/>
        <v>4.4961329423973249</v>
      </c>
      <c r="AD190" s="190">
        <f t="shared" si="166"/>
        <v>4.4961329423973249</v>
      </c>
      <c r="AE190" s="190">
        <f t="shared" si="166"/>
        <v>4.4961329423973249</v>
      </c>
      <c r="AF190" s="190">
        <f t="shared" si="166"/>
        <v>4.4961329423973249</v>
      </c>
      <c r="AG190" s="190">
        <f t="shared" si="166"/>
        <v>4.4961329423973249</v>
      </c>
      <c r="AH190" s="190">
        <f t="shared" si="166"/>
        <v>4.4961329423973249</v>
      </c>
      <c r="AI190" s="190">
        <f t="shared" si="166"/>
        <v>4.4961329423973249</v>
      </c>
      <c r="AJ190" s="190">
        <f t="shared" si="166"/>
        <v>4.4961329423973249</v>
      </c>
      <c r="AK190" s="190">
        <f t="shared" si="166"/>
        <v>4.4961329423973249</v>
      </c>
      <c r="AL190" s="190">
        <f t="shared" si="166"/>
        <v>4.4961329423973249</v>
      </c>
      <c r="AM190" s="190">
        <f t="shared" si="166"/>
        <v>4.4961329423973249</v>
      </c>
      <c r="AN190" s="190">
        <f t="shared" si="167"/>
        <v>4.4961329423973249</v>
      </c>
      <c r="AO190" s="190">
        <f t="shared" si="167"/>
        <v>4.4961329423973249</v>
      </c>
      <c r="AP190" s="190">
        <f t="shared" si="167"/>
        <v>4.4961329423973249</v>
      </c>
      <c r="AQ190" s="190">
        <f t="shared" si="167"/>
        <v>4.4961329423973249</v>
      </c>
      <c r="AR190" s="190">
        <f t="shared" si="167"/>
        <v>4.4961329423973249</v>
      </c>
      <c r="AS190" s="190">
        <f t="shared" si="167"/>
        <v>4.4961329423973249</v>
      </c>
      <c r="AT190" s="190">
        <f t="shared" si="167"/>
        <v>4.4961329423973249</v>
      </c>
      <c r="AU190" s="190">
        <f t="shared" si="167"/>
        <v>4.4961329423973249</v>
      </c>
      <c r="AV190" s="190">
        <f t="shared" si="167"/>
        <v>4.4961329423973249</v>
      </c>
    </row>
    <row r="191" spans="1:48">
      <c r="A191" s="4" t="s">
        <v>17</v>
      </c>
      <c r="B191" s="96" t="str">
        <f t="shared" si="163"/>
        <v>CNW</v>
      </c>
      <c r="C191" s="96" t="str">
        <f t="shared" si="163"/>
        <v>Commercial - Water Heating</v>
      </c>
      <c r="E191" s="123"/>
      <c r="F191" s="123"/>
      <c r="I191" s="187"/>
      <c r="J191" s="190">
        <f t="shared" si="164"/>
        <v>0</v>
      </c>
      <c r="K191" s="190">
        <f t="shared" si="164"/>
        <v>0</v>
      </c>
      <c r="L191" s="190">
        <f t="shared" si="164"/>
        <v>0</v>
      </c>
      <c r="M191" s="190">
        <f t="shared" si="164"/>
        <v>0</v>
      </c>
      <c r="N191" s="190">
        <f t="shared" si="164"/>
        <v>0</v>
      </c>
      <c r="O191" s="190">
        <f t="shared" si="164"/>
        <v>0</v>
      </c>
      <c r="P191" s="190">
        <f t="shared" si="164"/>
        <v>0.16456327387310041</v>
      </c>
      <c r="Q191" s="190">
        <f t="shared" si="164"/>
        <v>0.32872834313032523</v>
      </c>
      <c r="R191" s="190">
        <f t="shared" si="164"/>
        <v>0.49250271087698655</v>
      </c>
      <c r="S191" s="190">
        <f t="shared" si="164"/>
        <v>0.65589365080807804</v>
      </c>
      <c r="T191" s="190">
        <f t="shared" si="165"/>
        <v>0.81890821685066562</v>
      </c>
      <c r="U191" s="190">
        <f t="shared" si="165"/>
        <v>1.002043054612892</v>
      </c>
      <c r="V191" s="190">
        <f t="shared" si="165"/>
        <v>1.1845065940347357</v>
      </c>
      <c r="W191" s="190">
        <f t="shared" si="165"/>
        <v>1.36631495748917</v>
      </c>
      <c r="X191" s="190">
        <f t="shared" si="165"/>
        <v>1.5474836410877764</v>
      </c>
      <c r="Y191" s="190">
        <f t="shared" si="165"/>
        <v>1.7280275480153864</v>
      </c>
      <c r="Z191" s="190">
        <f t="shared" si="165"/>
        <v>1.9343648044058861</v>
      </c>
      <c r="AA191" s="190">
        <f t="shared" si="165"/>
        <v>2.139607391680896</v>
      </c>
      <c r="AB191" s="190">
        <f t="shared" si="165"/>
        <v>2.343788120270736</v>
      </c>
      <c r="AC191" s="190">
        <f t="shared" si="165"/>
        <v>2.343788120270736</v>
      </c>
      <c r="AD191" s="190">
        <f t="shared" si="166"/>
        <v>2.343788120270736</v>
      </c>
      <c r="AE191" s="190">
        <f t="shared" si="166"/>
        <v>2.343788120270736</v>
      </c>
      <c r="AF191" s="190">
        <f t="shared" si="166"/>
        <v>2.343788120270736</v>
      </c>
      <c r="AG191" s="190">
        <f t="shared" si="166"/>
        <v>2.343788120270736</v>
      </c>
      <c r="AH191" s="190">
        <f t="shared" si="166"/>
        <v>2.343788120270736</v>
      </c>
      <c r="AI191" s="190">
        <f t="shared" si="166"/>
        <v>2.343788120270736</v>
      </c>
      <c r="AJ191" s="190">
        <f t="shared" si="166"/>
        <v>2.343788120270736</v>
      </c>
      <c r="AK191" s="190">
        <f t="shared" si="166"/>
        <v>2.343788120270736</v>
      </c>
      <c r="AL191" s="190">
        <f t="shared" si="166"/>
        <v>2.343788120270736</v>
      </c>
      <c r="AM191" s="190">
        <f t="shared" si="166"/>
        <v>2.343788120270736</v>
      </c>
      <c r="AN191" s="190">
        <f t="shared" si="167"/>
        <v>2.343788120270736</v>
      </c>
      <c r="AO191" s="190">
        <f t="shared" si="167"/>
        <v>2.343788120270736</v>
      </c>
      <c r="AP191" s="190">
        <f t="shared" si="167"/>
        <v>2.343788120270736</v>
      </c>
      <c r="AQ191" s="190">
        <f t="shared" si="167"/>
        <v>2.343788120270736</v>
      </c>
      <c r="AR191" s="190">
        <f t="shared" si="167"/>
        <v>2.343788120270736</v>
      </c>
      <c r="AS191" s="190">
        <f t="shared" si="167"/>
        <v>2.343788120270736</v>
      </c>
      <c r="AT191" s="190">
        <f t="shared" si="167"/>
        <v>2.343788120270736</v>
      </c>
      <c r="AU191" s="190">
        <f t="shared" si="167"/>
        <v>2.343788120270736</v>
      </c>
      <c r="AV191" s="190">
        <f t="shared" si="167"/>
        <v>2.343788120270736</v>
      </c>
    </row>
    <row r="192" spans="1:48">
      <c r="A192" s="4" t="s">
        <v>17</v>
      </c>
      <c r="B192" s="96" t="str">
        <f t="shared" si="163"/>
        <v>CNG</v>
      </c>
      <c r="C192" s="96" t="str">
        <f t="shared" si="163"/>
        <v>Commercial - Public lights</v>
      </c>
      <c r="E192" s="123"/>
      <c r="F192" s="123"/>
      <c r="I192" s="187"/>
      <c r="J192" s="190">
        <f t="shared" si="164"/>
        <v>0</v>
      </c>
      <c r="K192" s="190">
        <f t="shared" si="164"/>
        <v>0</v>
      </c>
      <c r="L192" s="190">
        <f t="shared" si="164"/>
        <v>0</v>
      </c>
      <c r="M192" s="190">
        <f t="shared" si="164"/>
        <v>0</v>
      </c>
      <c r="N192" s="190">
        <f t="shared" si="164"/>
        <v>0</v>
      </c>
      <c r="O192" s="190">
        <f t="shared" si="164"/>
        <v>0</v>
      </c>
      <c r="P192" s="190">
        <f t="shared" si="164"/>
        <v>0</v>
      </c>
      <c r="Q192" s="190">
        <f t="shared" si="164"/>
        <v>0</v>
      </c>
      <c r="R192" s="190">
        <f t="shared" si="164"/>
        <v>0</v>
      </c>
      <c r="S192" s="190">
        <f t="shared" si="164"/>
        <v>0</v>
      </c>
      <c r="T192" s="190">
        <f t="shared" si="165"/>
        <v>0</v>
      </c>
      <c r="U192" s="190">
        <f t="shared" si="165"/>
        <v>0</v>
      </c>
      <c r="V192" s="190">
        <f t="shared" si="165"/>
        <v>0</v>
      </c>
      <c r="W192" s="190">
        <f t="shared" si="165"/>
        <v>0</v>
      </c>
      <c r="X192" s="190">
        <f t="shared" si="165"/>
        <v>0</v>
      </c>
      <c r="Y192" s="190">
        <f t="shared" si="165"/>
        <v>0</v>
      </c>
      <c r="Z192" s="190">
        <f t="shared" si="165"/>
        <v>0</v>
      </c>
      <c r="AA192" s="190">
        <f t="shared" si="165"/>
        <v>0</v>
      </c>
      <c r="AB192" s="190">
        <f t="shared" si="165"/>
        <v>0</v>
      </c>
      <c r="AC192" s="190">
        <f t="shared" si="165"/>
        <v>0</v>
      </c>
      <c r="AD192" s="190">
        <f t="shared" si="166"/>
        <v>0</v>
      </c>
      <c r="AE192" s="190">
        <f t="shared" si="166"/>
        <v>0</v>
      </c>
      <c r="AF192" s="190">
        <f t="shared" si="166"/>
        <v>0</v>
      </c>
      <c r="AG192" s="190">
        <f t="shared" si="166"/>
        <v>0</v>
      </c>
      <c r="AH192" s="190">
        <f t="shared" si="166"/>
        <v>0</v>
      </c>
      <c r="AI192" s="190">
        <f t="shared" si="166"/>
        <v>0</v>
      </c>
      <c r="AJ192" s="190">
        <f t="shared" si="166"/>
        <v>0</v>
      </c>
      <c r="AK192" s="190">
        <f t="shared" si="166"/>
        <v>0</v>
      </c>
      <c r="AL192" s="190">
        <f t="shared" si="166"/>
        <v>0</v>
      </c>
      <c r="AM192" s="190">
        <f t="shared" si="166"/>
        <v>0</v>
      </c>
      <c r="AN192" s="190">
        <f t="shared" si="167"/>
        <v>0</v>
      </c>
      <c r="AO192" s="190">
        <f t="shared" si="167"/>
        <v>0</v>
      </c>
      <c r="AP192" s="190">
        <f t="shared" si="167"/>
        <v>0</v>
      </c>
      <c r="AQ192" s="190">
        <f t="shared" si="167"/>
        <v>0</v>
      </c>
      <c r="AR192" s="190">
        <f t="shared" si="167"/>
        <v>0</v>
      </c>
      <c r="AS192" s="190">
        <f t="shared" si="167"/>
        <v>0</v>
      </c>
      <c r="AT192" s="190">
        <f t="shared" si="167"/>
        <v>0</v>
      </c>
      <c r="AU192" s="190">
        <f t="shared" si="167"/>
        <v>0</v>
      </c>
      <c r="AV192" s="190">
        <f t="shared" si="167"/>
        <v>0</v>
      </c>
    </row>
    <row r="193" spans="1:48">
      <c r="A193" s="4" t="s">
        <v>17</v>
      </c>
      <c r="B193" s="96" t="str">
        <f t="shared" si="163"/>
        <v>CNT</v>
      </c>
      <c r="C193" s="96" t="str">
        <f t="shared" si="163"/>
        <v>Commercial - Public Water</v>
      </c>
      <c r="E193" s="123"/>
      <c r="F193" s="123"/>
      <c r="I193" s="187"/>
      <c r="J193" s="190">
        <f t="shared" si="164"/>
        <v>0</v>
      </c>
      <c r="K193" s="190">
        <f t="shared" si="164"/>
        <v>0</v>
      </c>
      <c r="L193" s="190">
        <f t="shared" si="164"/>
        <v>0</v>
      </c>
      <c r="M193" s="190">
        <f t="shared" si="164"/>
        <v>0</v>
      </c>
      <c r="N193" s="190">
        <f t="shared" si="164"/>
        <v>0</v>
      </c>
      <c r="O193" s="190">
        <f t="shared" si="164"/>
        <v>0</v>
      </c>
      <c r="P193" s="190">
        <f t="shared" si="164"/>
        <v>0</v>
      </c>
      <c r="Q193" s="190">
        <f t="shared" si="164"/>
        <v>0</v>
      </c>
      <c r="R193" s="190">
        <f t="shared" si="164"/>
        <v>0</v>
      </c>
      <c r="S193" s="190">
        <f t="shared" si="164"/>
        <v>0</v>
      </c>
      <c r="T193" s="190">
        <f t="shared" si="165"/>
        <v>0</v>
      </c>
      <c r="U193" s="190">
        <f t="shared" si="165"/>
        <v>0</v>
      </c>
      <c r="V193" s="190">
        <f t="shared" si="165"/>
        <v>0</v>
      </c>
      <c r="W193" s="190">
        <f t="shared" si="165"/>
        <v>0</v>
      </c>
      <c r="X193" s="190">
        <f t="shared" si="165"/>
        <v>0</v>
      </c>
      <c r="Y193" s="190">
        <f t="shared" si="165"/>
        <v>0</v>
      </c>
      <c r="Z193" s="190">
        <f t="shared" si="165"/>
        <v>0</v>
      </c>
      <c r="AA193" s="190">
        <f t="shared" si="165"/>
        <v>0</v>
      </c>
      <c r="AB193" s="190">
        <f t="shared" si="165"/>
        <v>0</v>
      </c>
      <c r="AC193" s="190">
        <f t="shared" si="165"/>
        <v>0</v>
      </c>
      <c r="AD193" s="190">
        <f t="shared" si="166"/>
        <v>0</v>
      </c>
      <c r="AE193" s="190">
        <f t="shared" si="166"/>
        <v>0</v>
      </c>
      <c r="AF193" s="190">
        <f t="shared" si="166"/>
        <v>0</v>
      </c>
      <c r="AG193" s="190">
        <f t="shared" si="166"/>
        <v>0</v>
      </c>
      <c r="AH193" s="190">
        <f t="shared" si="166"/>
        <v>0</v>
      </c>
      <c r="AI193" s="190">
        <f t="shared" si="166"/>
        <v>0</v>
      </c>
      <c r="AJ193" s="190">
        <f t="shared" si="166"/>
        <v>0</v>
      </c>
      <c r="AK193" s="190">
        <f t="shared" si="166"/>
        <v>0</v>
      </c>
      <c r="AL193" s="190">
        <f t="shared" si="166"/>
        <v>0</v>
      </c>
      <c r="AM193" s="190">
        <f t="shared" si="166"/>
        <v>0</v>
      </c>
      <c r="AN193" s="190">
        <f t="shared" si="167"/>
        <v>0</v>
      </c>
      <c r="AO193" s="190">
        <f t="shared" si="167"/>
        <v>0</v>
      </c>
      <c r="AP193" s="190">
        <f t="shared" si="167"/>
        <v>0</v>
      </c>
      <c r="AQ193" s="190">
        <f t="shared" si="167"/>
        <v>0</v>
      </c>
      <c r="AR193" s="190">
        <f t="shared" si="167"/>
        <v>0</v>
      </c>
      <c r="AS193" s="190">
        <f t="shared" si="167"/>
        <v>0</v>
      </c>
      <c r="AT193" s="190">
        <f t="shared" si="167"/>
        <v>0</v>
      </c>
      <c r="AU193" s="190">
        <f t="shared" si="167"/>
        <v>0</v>
      </c>
      <c r="AV193" s="190">
        <f t="shared" si="167"/>
        <v>0</v>
      </c>
    </row>
    <row r="194" spans="1:48">
      <c r="A194" s="4" t="s">
        <v>17</v>
      </c>
      <c r="B194" s="96" t="str">
        <f t="shared" si="163"/>
        <v>CNO</v>
      </c>
      <c r="C194" s="96" t="str">
        <f t="shared" si="163"/>
        <v>Commercial - Other</v>
      </c>
      <c r="E194" s="123"/>
      <c r="F194" s="123"/>
      <c r="I194" s="187"/>
      <c r="J194" s="190">
        <f t="shared" si="164"/>
        <v>0</v>
      </c>
      <c r="K194" s="190">
        <f t="shared" si="164"/>
        <v>0</v>
      </c>
      <c r="L194" s="190">
        <f t="shared" si="164"/>
        <v>0</v>
      </c>
      <c r="M194" s="190">
        <f t="shared" si="164"/>
        <v>0</v>
      </c>
      <c r="N194" s="190">
        <f t="shared" si="164"/>
        <v>0</v>
      </c>
      <c r="O194" s="190">
        <f t="shared" si="164"/>
        <v>0</v>
      </c>
      <c r="P194" s="190">
        <f t="shared" si="164"/>
        <v>0.21074883361483501</v>
      </c>
      <c r="Q194" s="190">
        <f t="shared" si="164"/>
        <v>0.42098770436638538</v>
      </c>
      <c r="R194" s="190">
        <f t="shared" si="164"/>
        <v>0.63072622114645172</v>
      </c>
      <c r="S194" s="190">
        <f t="shared" si="164"/>
        <v>0.83997369905128816</v>
      </c>
      <c r="T194" s="190">
        <f t="shared" si="165"/>
        <v>1.0487391717301804</v>
      </c>
      <c r="U194" s="190">
        <f t="shared" si="165"/>
        <v>1.283271777604279</v>
      </c>
      <c r="V194" s="190">
        <f t="shared" si="165"/>
        <v>1.5169446816815342</v>
      </c>
      <c r="W194" s="190">
        <f t="shared" si="165"/>
        <v>1.7497785311648066</v>
      </c>
      <c r="X194" s="190">
        <f t="shared" si="165"/>
        <v>1.9817931712319699</v>
      </c>
      <c r="Y194" s="190">
        <f t="shared" si="165"/>
        <v>2.2130076877260945</v>
      </c>
      <c r="Z194" s="190">
        <f t="shared" si="165"/>
        <v>2.4772545946581714</v>
      </c>
      <c r="AA194" s="190">
        <f t="shared" si="165"/>
        <v>2.740099607754193</v>
      </c>
      <c r="AB194" s="190">
        <f t="shared" si="165"/>
        <v>3.0015847458665905</v>
      </c>
      <c r="AC194" s="190">
        <f t="shared" si="165"/>
        <v>3.0015847458665905</v>
      </c>
      <c r="AD194" s="190">
        <f t="shared" si="166"/>
        <v>3.0015847458665905</v>
      </c>
      <c r="AE194" s="190">
        <f t="shared" si="166"/>
        <v>3.0015847458665905</v>
      </c>
      <c r="AF194" s="190">
        <f t="shared" si="166"/>
        <v>3.0015847458665905</v>
      </c>
      <c r="AG194" s="190">
        <f t="shared" si="166"/>
        <v>3.0015847458665905</v>
      </c>
      <c r="AH194" s="190">
        <f t="shared" si="166"/>
        <v>3.0015847458665905</v>
      </c>
      <c r="AI194" s="190">
        <f t="shared" si="166"/>
        <v>3.0015847458665905</v>
      </c>
      <c r="AJ194" s="190">
        <f t="shared" si="166"/>
        <v>3.0015847458665905</v>
      </c>
      <c r="AK194" s="190">
        <f t="shared" si="166"/>
        <v>3.0015847458665905</v>
      </c>
      <c r="AL194" s="190">
        <f t="shared" si="166"/>
        <v>3.0015847458665905</v>
      </c>
      <c r="AM194" s="190">
        <f t="shared" si="166"/>
        <v>3.0015847458665905</v>
      </c>
      <c r="AN194" s="190">
        <f t="shared" si="167"/>
        <v>3.0015847458665905</v>
      </c>
      <c r="AO194" s="190">
        <f t="shared" si="167"/>
        <v>3.0015847458665905</v>
      </c>
      <c r="AP194" s="190">
        <f t="shared" si="167"/>
        <v>3.0015847458665905</v>
      </c>
      <c r="AQ194" s="190">
        <f t="shared" si="167"/>
        <v>3.0015847458665905</v>
      </c>
      <c r="AR194" s="190">
        <f t="shared" si="167"/>
        <v>3.0015847458665905</v>
      </c>
      <c r="AS194" s="190">
        <f t="shared" si="167"/>
        <v>3.0015847458665905</v>
      </c>
      <c r="AT194" s="190">
        <f t="shared" si="167"/>
        <v>3.0015847458665905</v>
      </c>
      <c r="AU194" s="190">
        <f t="shared" si="167"/>
        <v>3.0015847458665905</v>
      </c>
      <c r="AV194" s="190">
        <f t="shared" si="167"/>
        <v>3.0015847458665905</v>
      </c>
    </row>
    <row r="195" spans="1:48">
      <c r="A195" s="4" t="s">
        <v>17</v>
      </c>
      <c r="E195" s="123"/>
      <c r="F195" s="123"/>
      <c r="I195" s="187"/>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row>
    <row r="196" spans="1:48">
      <c r="A196" s="4" t="s">
        <v>17</v>
      </c>
      <c r="E196" s="123"/>
      <c r="F196" s="123"/>
      <c r="I196" s="187" t="s">
        <v>113</v>
      </c>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row>
    <row r="197" spans="1:48">
      <c r="A197" s="4" t="s">
        <v>17</v>
      </c>
      <c r="B197" s="96" t="str">
        <f t="shared" ref="B197:C205" si="168">B186</f>
        <v>CNC</v>
      </c>
      <c r="C197" s="96" t="str">
        <f t="shared" si="168"/>
        <v>Commercial - Cooling</v>
      </c>
      <c r="E197" s="123"/>
      <c r="F197" s="123"/>
      <c r="I197" s="187"/>
      <c r="J197" s="190">
        <f t="shared" ref="J197:S205" si="169">INDEX(J$49:J$52,MATCH($I$196,$B$49:$B$52,0),1)*INDEX(J$81:J$89,MATCH($B197,$B$81:$B$89,0))*INDEX(J$127:J$135,MATCH($B197,$B$127:$B$135,0))/1000</f>
        <v>0</v>
      </c>
      <c r="K197" s="190">
        <f t="shared" si="169"/>
        <v>0</v>
      </c>
      <c r="L197" s="190">
        <f t="shared" si="169"/>
        <v>0</v>
      </c>
      <c r="M197" s="190">
        <f t="shared" si="169"/>
        <v>0</v>
      </c>
      <c r="N197" s="190">
        <f t="shared" si="169"/>
        <v>0</v>
      </c>
      <c r="O197" s="190">
        <f t="shared" si="169"/>
        <v>0</v>
      </c>
      <c r="P197" s="190">
        <f t="shared" si="169"/>
        <v>0</v>
      </c>
      <c r="Q197" s="190">
        <f t="shared" si="169"/>
        <v>0</v>
      </c>
      <c r="R197" s="190">
        <f t="shared" si="169"/>
        <v>0</v>
      </c>
      <c r="S197" s="190">
        <f t="shared" si="169"/>
        <v>0</v>
      </c>
      <c r="T197" s="190">
        <f t="shared" ref="T197:AC205" si="170">INDEX(T$49:T$52,MATCH($I$196,$B$49:$B$52,0),1)*INDEX(T$81:T$89,MATCH($B197,$B$81:$B$89,0))*INDEX(T$127:T$135,MATCH($B197,$B$127:$B$135,0))/1000</f>
        <v>0</v>
      </c>
      <c r="U197" s="190">
        <f t="shared" si="170"/>
        <v>0</v>
      </c>
      <c r="V197" s="190">
        <f t="shared" si="170"/>
        <v>0</v>
      </c>
      <c r="W197" s="190">
        <f t="shared" si="170"/>
        <v>0</v>
      </c>
      <c r="X197" s="190">
        <f t="shared" si="170"/>
        <v>0</v>
      </c>
      <c r="Y197" s="190">
        <f t="shared" si="170"/>
        <v>0</v>
      </c>
      <c r="Z197" s="190">
        <f t="shared" si="170"/>
        <v>0</v>
      </c>
      <c r="AA197" s="190">
        <f t="shared" si="170"/>
        <v>0</v>
      </c>
      <c r="AB197" s="190">
        <f t="shared" si="170"/>
        <v>0</v>
      </c>
      <c r="AC197" s="190">
        <f t="shared" si="170"/>
        <v>1.8224701214215537</v>
      </c>
      <c r="AD197" s="190">
        <f t="shared" ref="AD197:AM205" si="171">INDEX(AD$49:AD$52,MATCH($I$196,$B$49:$B$52,0),1)*INDEX(AD$81:AD$89,MATCH($B197,$B$81:$B$89,0))*INDEX(AD$127:AD$135,MATCH($B197,$B$127:$B$135,0))/1000</f>
        <v>3.635961231916637</v>
      </c>
      <c r="AE197" s="190">
        <f t="shared" si="171"/>
        <v>5.5680020127199192</v>
      </c>
      <c r="AF197" s="190">
        <f t="shared" si="171"/>
        <v>7.4888679342614299</v>
      </c>
      <c r="AG197" s="190">
        <f t="shared" si="171"/>
        <v>9.3989083301823815</v>
      </c>
      <c r="AH197" s="190">
        <f t="shared" si="171"/>
        <v>11.298454952196211</v>
      </c>
      <c r="AI197" s="190">
        <f t="shared" si="171"/>
        <v>13.187823177314415</v>
      </c>
      <c r="AJ197" s="190">
        <f t="shared" si="171"/>
        <v>15.193977878971523</v>
      </c>
      <c r="AK197" s="190">
        <f t="shared" si="171"/>
        <v>17.187770530249765</v>
      </c>
      <c r="AL197" s="190">
        <f t="shared" si="171"/>
        <v>19.169598331207851</v>
      </c>
      <c r="AM197" s="190">
        <f t="shared" si="171"/>
        <v>19.169598331207851</v>
      </c>
      <c r="AN197" s="190">
        <f t="shared" ref="AN197:AV205" si="172">INDEX(AN$49:AN$52,MATCH($I$196,$B$49:$B$52,0),1)*INDEX(AN$81:AN$89,MATCH($B197,$B$81:$B$89,0))*INDEX(AN$127:AN$135,MATCH($B197,$B$127:$B$135,0))/1000</f>
        <v>19.169598331207851</v>
      </c>
      <c r="AO197" s="190">
        <f t="shared" si="172"/>
        <v>19.169598331207851</v>
      </c>
      <c r="AP197" s="190">
        <f t="shared" si="172"/>
        <v>19.169598331207851</v>
      </c>
      <c r="AQ197" s="190">
        <f t="shared" si="172"/>
        <v>19.169598331207851</v>
      </c>
      <c r="AR197" s="190">
        <f t="shared" si="172"/>
        <v>19.169598331207851</v>
      </c>
      <c r="AS197" s="190">
        <f t="shared" si="172"/>
        <v>19.169598331207851</v>
      </c>
      <c r="AT197" s="190">
        <f t="shared" si="172"/>
        <v>19.169598331207851</v>
      </c>
      <c r="AU197" s="190">
        <f t="shared" si="172"/>
        <v>19.169598331207851</v>
      </c>
      <c r="AV197" s="190">
        <f t="shared" si="172"/>
        <v>19.169598331207851</v>
      </c>
    </row>
    <row r="198" spans="1:48">
      <c r="A198" s="4" t="s">
        <v>17</v>
      </c>
      <c r="B198" s="96" t="str">
        <f t="shared" si="168"/>
        <v>CNH</v>
      </c>
      <c r="C198" s="96" t="str">
        <f t="shared" si="168"/>
        <v>Commercial - Space Heating</v>
      </c>
      <c r="E198" s="123"/>
      <c r="F198" s="123"/>
      <c r="I198" s="187"/>
      <c r="J198" s="190">
        <f t="shared" si="169"/>
        <v>0</v>
      </c>
      <c r="K198" s="190">
        <f t="shared" si="169"/>
        <v>0</v>
      </c>
      <c r="L198" s="190">
        <f t="shared" si="169"/>
        <v>0</v>
      </c>
      <c r="M198" s="190">
        <f t="shared" si="169"/>
        <v>0</v>
      </c>
      <c r="N198" s="190">
        <f t="shared" si="169"/>
        <v>0</v>
      </c>
      <c r="O198" s="190">
        <f t="shared" si="169"/>
        <v>0</v>
      </c>
      <c r="P198" s="190">
        <f t="shared" si="169"/>
        <v>0</v>
      </c>
      <c r="Q198" s="190">
        <f t="shared" si="169"/>
        <v>0</v>
      </c>
      <c r="R198" s="190">
        <f t="shared" si="169"/>
        <v>0</v>
      </c>
      <c r="S198" s="190">
        <f t="shared" si="169"/>
        <v>0</v>
      </c>
      <c r="T198" s="190">
        <f t="shared" si="170"/>
        <v>0</v>
      </c>
      <c r="U198" s="190">
        <f t="shared" si="170"/>
        <v>0</v>
      </c>
      <c r="V198" s="190">
        <f t="shared" si="170"/>
        <v>0</v>
      </c>
      <c r="W198" s="190">
        <f t="shared" si="170"/>
        <v>0</v>
      </c>
      <c r="X198" s="190">
        <f t="shared" si="170"/>
        <v>0</v>
      </c>
      <c r="Y198" s="190">
        <f t="shared" si="170"/>
        <v>0</v>
      </c>
      <c r="Z198" s="190">
        <f t="shared" si="170"/>
        <v>0</v>
      </c>
      <c r="AA198" s="190">
        <f t="shared" si="170"/>
        <v>0</v>
      </c>
      <c r="AB198" s="190">
        <f t="shared" si="170"/>
        <v>0</v>
      </c>
      <c r="AC198" s="190">
        <f t="shared" si="170"/>
        <v>0.17380230193167562</v>
      </c>
      <c r="AD198" s="190">
        <f t="shared" si="171"/>
        <v>0.34674830847077004</v>
      </c>
      <c r="AE198" s="190">
        <f t="shared" si="171"/>
        <v>0.5309999629602048</v>
      </c>
      <c r="AF198" s="190">
        <f t="shared" si="171"/>
        <v>0.71418591204211079</v>
      </c>
      <c r="AG198" s="190">
        <f t="shared" si="171"/>
        <v>0.89633947038665551</v>
      </c>
      <c r="AH198" s="190">
        <f t="shared" si="171"/>
        <v>1.0774922759399359</v>
      </c>
      <c r="AI198" s="190">
        <f t="shared" si="171"/>
        <v>1.2576744050526862</v>
      </c>
      <c r="AJ198" s="190">
        <f t="shared" si="171"/>
        <v>1.4489940327824888</v>
      </c>
      <c r="AK198" s="190">
        <f t="shared" si="171"/>
        <v>1.6391347370351994</v>
      </c>
      <c r="AL198" s="190">
        <f t="shared" si="171"/>
        <v>1.8281343973259438</v>
      </c>
      <c r="AM198" s="190">
        <f t="shared" si="171"/>
        <v>1.8281343973259438</v>
      </c>
      <c r="AN198" s="190">
        <f t="shared" si="172"/>
        <v>1.8281343973259438</v>
      </c>
      <c r="AO198" s="190">
        <f t="shared" si="172"/>
        <v>1.8281343973259438</v>
      </c>
      <c r="AP198" s="190">
        <f t="shared" si="172"/>
        <v>1.8281343973259438</v>
      </c>
      <c r="AQ198" s="190">
        <f t="shared" si="172"/>
        <v>1.8281343973259438</v>
      </c>
      <c r="AR198" s="190">
        <f t="shared" si="172"/>
        <v>1.8281343973259438</v>
      </c>
      <c r="AS198" s="190">
        <f t="shared" si="172"/>
        <v>1.8281343973259438</v>
      </c>
      <c r="AT198" s="190">
        <f t="shared" si="172"/>
        <v>1.8281343973259438</v>
      </c>
      <c r="AU198" s="190">
        <f t="shared" si="172"/>
        <v>1.8281343973259438</v>
      </c>
      <c r="AV198" s="190">
        <f t="shared" si="172"/>
        <v>1.8281343973259438</v>
      </c>
    </row>
    <row r="199" spans="1:48">
      <c r="A199" s="4" t="s">
        <v>17</v>
      </c>
      <c r="B199" s="96" t="str">
        <f t="shared" si="168"/>
        <v>CNK</v>
      </c>
      <c r="C199" s="96" t="str">
        <f t="shared" si="168"/>
        <v>Commercial - Cooking</v>
      </c>
      <c r="E199" s="123"/>
      <c r="F199" s="123"/>
      <c r="I199" s="187"/>
      <c r="J199" s="190">
        <f t="shared" si="169"/>
        <v>0</v>
      </c>
      <c r="K199" s="190">
        <f t="shared" si="169"/>
        <v>0</v>
      </c>
      <c r="L199" s="190">
        <f t="shared" si="169"/>
        <v>0</v>
      </c>
      <c r="M199" s="190">
        <f t="shared" si="169"/>
        <v>0</v>
      </c>
      <c r="N199" s="190">
        <f t="shared" si="169"/>
        <v>0</v>
      </c>
      <c r="O199" s="190">
        <f t="shared" si="169"/>
        <v>0</v>
      </c>
      <c r="P199" s="190">
        <f t="shared" si="169"/>
        <v>0</v>
      </c>
      <c r="Q199" s="190">
        <f t="shared" si="169"/>
        <v>0</v>
      </c>
      <c r="R199" s="190">
        <f t="shared" si="169"/>
        <v>0</v>
      </c>
      <c r="S199" s="190">
        <f t="shared" si="169"/>
        <v>0</v>
      </c>
      <c r="T199" s="190">
        <f t="shared" si="170"/>
        <v>0</v>
      </c>
      <c r="U199" s="190">
        <f t="shared" si="170"/>
        <v>0</v>
      </c>
      <c r="V199" s="190">
        <f t="shared" si="170"/>
        <v>0</v>
      </c>
      <c r="W199" s="190">
        <f t="shared" si="170"/>
        <v>0</v>
      </c>
      <c r="X199" s="190">
        <f t="shared" si="170"/>
        <v>0</v>
      </c>
      <c r="Y199" s="190">
        <f t="shared" si="170"/>
        <v>0</v>
      </c>
      <c r="Z199" s="190">
        <f t="shared" si="170"/>
        <v>0</v>
      </c>
      <c r="AA199" s="190">
        <f t="shared" si="170"/>
        <v>0</v>
      </c>
      <c r="AB199" s="190">
        <f t="shared" si="170"/>
        <v>0</v>
      </c>
      <c r="AC199" s="190">
        <f t="shared" si="170"/>
        <v>0.12999521959150062</v>
      </c>
      <c r="AD199" s="190">
        <f t="shared" si="171"/>
        <v>0.25934997408929061</v>
      </c>
      <c r="AE199" s="190">
        <f t="shared" si="171"/>
        <v>0.39716077417217571</v>
      </c>
      <c r="AF199" s="190">
        <f t="shared" si="171"/>
        <v>0.5341744811962702</v>
      </c>
      <c r="AG199" s="190">
        <f t="shared" si="171"/>
        <v>0.67041601282846297</v>
      </c>
      <c r="AH199" s="190">
        <f t="shared" si="171"/>
        <v>0.80590903263192115</v>
      </c>
      <c r="AI199" s="190">
        <f t="shared" si="171"/>
        <v>0.94067603617646534</v>
      </c>
      <c r="AJ199" s="190">
        <f t="shared" si="171"/>
        <v>1.08377331821751</v>
      </c>
      <c r="AK199" s="190">
        <f t="shared" si="171"/>
        <v>1.2259888258828258</v>
      </c>
      <c r="AL199" s="190">
        <f t="shared" si="171"/>
        <v>1.3673508911095154</v>
      </c>
      <c r="AM199" s="190">
        <f t="shared" si="171"/>
        <v>1.3673508911095154</v>
      </c>
      <c r="AN199" s="190">
        <f t="shared" si="172"/>
        <v>1.3673508911095154</v>
      </c>
      <c r="AO199" s="190">
        <f t="shared" si="172"/>
        <v>1.3673508911095154</v>
      </c>
      <c r="AP199" s="190">
        <f t="shared" si="172"/>
        <v>1.3673508911095154</v>
      </c>
      <c r="AQ199" s="190">
        <f t="shared" si="172"/>
        <v>1.3673508911095154</v>
      </c>
      <c r="AR199" s="190">
        <f t="shared" si="172"/>
        <v>1.3673508911095154</v>
      </c>
      <c r="AS199" s="190">
        <f t="shared" si="172"/>
        <v>1.3673508911095154</v>
      </c>
      <c r="AT199" s="190">
        <f t="shared" si="172"/>
        <v>1.3673508911095154</v>
      </c>
      <c r="AU199" s="190">
        <f t="shared" si="172"/>
        <v>1.3673508911095154</v>
      </c>
      <c r="AV199" s="190">
        <f t="shared" si="172"/>
        <v>1.3673508911095154</v>
      </c>
    </row>
    <row r="200" spans="1:48">
      <c r="A200" s="4" t="s">
        <v>17</v>
      </c>
      <c r="B200" s="96" t="str">
        <f t="shared" si="168"/>
        <v>CNL</v>
      </c>
      <c r="C200" s="96" t="str">
        <f t="shared" si="168"/>
        <v>Commercial - Lighting</v>
      </c>
      <c r="E200" s="123"/>
      <c r="F200" s="123"/>
      <c r="I200" s="187"/>
      <c r="J200" s="190">
        <f t="shared" si="169"/>
        <v>0</v>
      </c>
      <c r="K200" s="190">
        <f t="shared" si="169"/>
        <v>0</v>
      </c>
      <c r="L200" s="190">
        <f t="shared" si="169"/>
        <v>0</v>
      </c>
      <c r="M200" s="190">
        <f t="shared" si="169"/>
        <v>0</v>
      </c>
      <c r="N200" s="190">
        <f t="shared" si="169"/>
        <v>0</v>
      </c>
      <c r="O200" s="190">
        <f t="shared" si="169"/>
        <v>0</v>
      </c>
      <c r="P200" s="190">
        <f t="shared" si="169"/>
        <v>0</v>
      </c>
      <c r="Q200" s="190">
        <f t="shared" si="169"/>
        <v>0</v>
      </c>
      <c r="R200" s="190">
        <f t="shared" si="169"/>
        <v>0</v>
      </c>
      <c r="S200" s="190">
        <f t="shared" si="169"/>
        <v>0</v>
      </c>
      <c r="T200" s="190">
        <f t="shared" si="170"/>
        <v>0</v>
      </c>
      <c r="U200" s="190">
        <f t="shared" si="170"/>
        <v>0</v>
      </c>
      <c r="V200" s="190">
        <f t="shared" si="170"/>
        <v>0</v>
      </c>
      <c r="W200" s="190">
        <f t="shared" si="170"/>
        <v>0</v>
      </c>
      <c r="X200" s="190">
        <f t="shared" si="170"/>
        <v>0</v>
      </c>
      <c r="Y200" s="190">
        <f t="shared" si="170"/>
        <v>0</v>
      </c>
      <c r="Z200" s="190">
        <f t="shared" si="170"/>
        <v>0</v>
      </c>
      <c r="AA200" s="190">
        <f t="shared" si="170"/>
        <v>0</v>
      </c>
      <c r="AB200" s="190">
        <f t="shared" si="170"/>
        <v>0</v>
      </c>
      <c r="AC200" s="190">
        <f t="shared" si="170"/>
        <v>1.5859698180219051</v>
      </c>
      <c r="AD200" s="190">
        <f t="shared" si="171"/>
        <v>3.1641258232642824</v>
      </c>
      <c r="AE200" s="190">
        <f t="shared" si="171"/>
        <v>4.8454474150560811</v>
      </c>
      <c r="AF200" s="190">
        <f t="shared" si="171"/>
        <v>6.5170442989903998</v>
      </c>
      <c r="AG200" s="190">
        <f t="shared" si="171"/>
        <v>8.1792204759970044</v>
      </c>
      <c r="AH200" s="190">
        <f t="shared" si="171"/>
        <v>9.83226464666879</v>
      </c>
      <c r="AI200" s="190">
        <f t="shared" si="171"/>
        <v>11.476451261827004</v>
      </c>
      <c r="AJ200" s="190">
        <f t="shared" si="171"/>
        <v>13.222269077830012</v>
      </c>
      <c r="AK200" s="190">
        <f t="shared" si="171"/>
        <v>14.957329055578608</v>
      </c>
      <c r="AL200" s="190">
        <f t="shared" si="171"/>
        <v>16.681976850838243</v>
      </c>
      <c r="AM200" s="190">
        <f t="shared" si="171"/>
        <v>16.681976850838243</v>
      </c>
      <c r="AN200" s="190">
        <f t="shared" si="172"/>
        <v>16.681976850838243</v>
      </c>
      <c r="AO200" s="190">
        <f t="shared" si="172"/>
        <v>16.681976850838243</v>
      </c>
      <c r="AP200" s="190">
        <f t="shared" si="172"/>
        <v>16.681976850838243</v>
      </c>
      <c r="AQ200" s="190">
        <f t="shared" si="172"/>
        <v>16.681976850838243</v>
      </c>
      <c r="AR200" s="190">
        <f t="shared" si="172"/>
        <v>16.681976850838243</v>
      </c>
      <c r="AS200" s="190">
        <f t="shared" si="172"/>
        <v>16.681976850838243</v>
      </c>
      <c r="AT200" s="190">
        <f t="shared" si="172"/>
        <v>16.681976850838243</v>
      </c>
      <c r="AU200" s="190">
        <f t="shared" si="172"/>
        <v>16.681976850838243</v>
      </c>
      <c r="AV200" s="190">
        <f t="shared" si="172"/>
        <v>16.681976850838243</v>
      </c>
    </row>
    <row r="201" spans="1:48">
      <c r="A201" s="4" t="s">
        <v>17</v>
      </c>
      <c r="B201" s="96" t="str">
        <f t="shared" si="168"/>
        <v>CNR</v>
      </c>
      <c r="C201" s="96" t="str">
        <f t="shared" si="168"/>
        <v>Commercial - Refrigeration</v>
      </c>
      <c r="E201" s="123"/>
      <c r="F201" s="123"/>
      <c r="I201" s="187"/>
      <c r="J201" s="190">
        <f t="shared" si="169"/>
        <v>0</v>
      </c>
      <c r="K201" s="190">
        <f t="shared" si="169"/>
        <v>0</v>
      </c>
      <c r="L201" s="190">
        <f t="shared" si="169"/>
        <v>0</v>
      </c>
      <c r="M201" s="190">
        <f t="shared" si="169"/>
        <v>0</v>
      </c>
      <c r="N201" s="190">
        <f t="shared" si="169"/>
        <v>0</v>
      </c>
      <c r="O201" s="190">
        <f t="shared" si="169"/>
        <v>0</v>
      </c>
      <c r="P201" s="190">
        <f t="shared" si="169"/>
        <v>0</v>
      </c>
      <c r="Q201" s="190">
        <f t="shared" si="169"/>
        <v>0</v>
      </c>
      <c r="R201" s="190">
        <f t="shared" si="169"/>
        <v>0</v>
      </c>
      <c r="S201" s="190">
        <f t="shared" si="169"/>
        <v>0</v>
      </c>
      <c r="T201" s="190">
        <f t="shared" si="170"/>
        <v>0</v>
      </c>
      <c r="U201" s="190">
        <f t="shared" si="170"/>
        <v>0</v>
      </c>
      <c r="V201" s="190">
        <f t="shared" si="170"/>
        <v>0</v>
      </c>
      <c r="W201" s="190">
        <f t="shared" si="170"/>
        <v>0</v>
      </c>
      <c r="X201" s="190">
        <f t="shared" si="170"/>
        <v>0</v>
      </c>
      <c r="Y201" s="190">
        <f t="shared" si="170"/>
        <v>0</v>
      </c>
      <c r="Z201" s="190">
        <f t="shared" si="170"/>
        <v>0</v>
      </c>
      <c r="AA201" s="190">
        <f t="shared" si="170"/>
        <v>0</v>
      </c>
      <c r="AB201" s="190">
        <f t="shared" si="170"/>
        <v>0</v>
      </c>
      <c r="AC201" s="190">
        <f t="shared" si="170"/>
        <v>0.3858095923711799</v>
      </c>
      <c r="AD201" s="190">
        <f t="shared" si="171"/>
        <v>0.76971836425443019</v>
      </c>
      <c r="AE201" s="190">
        <f t="shared" si="171"/>
        <v>1.1787236243817059</v>
      </c>
      <c r="AF201" s="190">
        <f t="shared" si="171"/>
        <v>1.5853632117630128</v>
      </c>
      <c r="AG201" s="190">
        <f t="shared" si="171"/>
        <v>1.9897110789247237</v>
      </c>
      <c r="AH201" s="190">
        <f t="shared" si="171"/>
        <v>2.3918374563698386</v>
      </c>
      <c r="AI201" s="190">
        <f t="shared" si="171"/>
        <v>2.7918091081428358</v>
      </c>
      <c r="AJ201" s="190">
        <f t="shared" si="171"/>
        <v>3.2165039871327465</v>
      </c>
      <c r="AK201" s="190">
        <f t="shared" si="171"/>
        <v>3.6385818697936192</v>
      </c>
      <c r="AL201" s="190">
        <f t="shared" si="171"/>
        <v>4.0581268417798286</v>
      </c>
      <c r="AM201" s="190">
        <f t="shared" si="171"/>
        <v>4.0581268417798286</v>
      </c>
      <c r="AN201" s="190">
        <f t="shared" si="172"/>
        <v>4.0581268417798286</v>
      </c>
      <c r="AO201" s="190">
        <f t="shared" si="172"/>
        <v>4.0581268417798286</v>
      </c>
      <c r="AP201" s="190">
        <f t="shared" si="172"/>
        <v>4.0581268417798286</v>
      </c>
      <c r="AQ201" s="190">
        <f t="shared" si="172"/>
        <v>4.0581268417798286</v>
      </c>
      <c r="AR201" s="190">
        <f t="shared" si="172"/>
        <v>4.0581268417798286</v>
      </c>
      <c r="AS201" s="190">
        <f t="shared" si="172"/>
        <v>4.0581268417798286</v>
      </c>
      <c r="AT201" s="190">
        <f t="shared" si="172"/>
        <v>4.0581268417798286</v>
      </c>
      <c r="AU201" s="190">
        <f t="shared" si="172"/>
        <v>4.0581268417798286</v>
      </c>
      <c r="AV201" s="190">
        <f t="shared" si="172"/>
        <v>4.0581268417798286</v>
      </c>
    </row>
    <row r="202" spans="1:48">
      <c r="A202" s="4" t="s">
        <v>17</v>
      </c>
      <c r="B202" s="96" t="str">
        <f t="shared" si="168"/>
        <v>CNW</v>
      </c>
      <c r="C202" s="96" t="str">
        <f t="shared" si="168"/>
        <v>Commercial - Water Heating</v>
      </c>
      <c r="E202" s="123"/>
      <c r="F202" s="123"/>
      <c r="I202" s="187"/>
      <c r="J202" s="190">
        <f t="shared" si="169"/>
        <v>0</v>
      </c>
      <c r="K202" s="190">
        <f t="shared" si="169"/>
        <v>0</v>
      </c>
      <c r="L202" s="190">
        <f t="shared" si="169"/>
        <v>0</v>
      </c>
      <c r="M202" s="190">
        <f t="shared" si="169"/>
        <v>0</v>
      </c>
      <c r="N202" s="190">
        <f t="shared" si="169"/>
        <v>0</v>
      </c>
      <c r="O202" s="190">
        <f t="shared" si="169"/>
        <v>0</v>
      </c>
      <c r="P202" s="190">
        <f t="shared" si="169"/>
        <v>0</v>
      </c>
      <c r="Q202" s="190">
        <f t="shared" si="169"/>
        <v>0</v>
      </c>
      <c r="R202" s="190">
        <f t="shared" si="169"/>
        <v>0</v>
      </c>
      <c r="S202" s="190">
        <f t="shared" si="169"/>
        <v>0</v>
      </c>
      <c r="T202" s="190">
        <f t="shared" si="170"/>
        <v>0</v>
      </c>
      <c r="U202" s="190">
        <f t="shared" si="170"/>
        <v>0</v>
      </c>
      <c r="V202" s="190">
        <f t="shared" si="170"/>
        <v>0</v>
      </c>
      <c r="W202" s="190">
        <f t="shared" si="170"/>
        <v>0</v>
      </c>
      <c r="X202" s="190">
        <f t="shared" si="170"/>
        <v>0</v>
      </c>
      <c r="Y202" s="190">
        <f t="shared" si="170"/>
        <v>0</v>
      </c>
      <c r="Z202" s="190">
        <f t="shared" si="170"/>
        <v>0</v>
      </c>
      <c r="AA202" s="190">
        <f t="shared" si="170"/>
        <v>0</v>
      </c>
      <c r="AB202" s="190">
        <f t="shared" si="170"/>
        <v>0</v>
      </c>
      <c r="AC202" s="190">
        <f t="shared" si="170"/>
        <v>0.20111859477267144</v>
      </c>
      <c r="AD202" s="190">
        <f t="shared" si="171"/>
        <v>0.40124631126495081</v>
      </c>
      <c r="AE202" s="190">
        <f t="shared" si="171"/>
        <v>0.6144565704134306</v>
      </c>
      <c r="AF202" s="190">
        <f t="shared" si="171"/>
        <v>0.82643362855351366</v>
      </c>
      <c r="AG202" s="190">
        <f t="shared" si="171"/>
        <v>1.0372160363808753</v>
      </c>
      <c r="AH202" s="190">
        <f t="shared" si="171"/>
        <v>1.2468404043384713</v>
      </c>
      <c r="AI202" s="190">
        <f t="shared" si="171"/>
        <v>1.4553415358398831</v>
      </c>
      <c r="AJ202" s="190">
        <f t="shared" si="171"/>
        <v>1.6767306328414566</v>
      </c>
      <c r="AK202" s="190">
        <f t="shared" si="171"/>
        <v>1.8967555164211016</v>
      </c>
      <c r="AL202" s="190">
        <f t="shared" si="171"/>
        <v>2.1154600195704885</v>
      </c>
      <c r="AM202" s="190">
        <f t="shared" si="171"/>
        <v>2.1154600195704885</v>
      </c>
      <c r="AN202" s="190">
        <f t="shared" si="172"/>
        <v>2.1154600195704885</v>
      </c>
      <c r="AO202" s="190">
        <f t="shared" si="172"/>
        <v>2.1154600195704885</v>
      </c>
      <c r="AP202" s="190">
        <f t="shared" si="172"/>
        <v>2.1154600195704885</v>
      </c>
      <c r="AQ202" s="190">
        <f t="shared" si="172"/>
        <v>2.1154600195704885</v>
      </c>
      <c r="AR202" s="190">
        <f t="shared" si="172"/>
        <v>2.1154600195704885</v>
      </c>
      <c r="AS202" s="190">
        <f t="shared" si="172"/>
        <v>2.1154600195704885</v>
      </c>
      <c r="AT202" s="190">
        <f t="shared" si="172"/>
        <v>2.1154600195704885</v>
      </c>
      <c r="AU202" s="190">
        <f t="shared" si="172"/>
        <v>2.1154600195704885</v>
      </c>
      <c r="AV202" s="190">
        <f t="shared" si="172"/>
        <v>2.1154600195704885</v>
      </c>
    </row>
    <row r="203" spans="1:48">
      <c r="A203" s="4" t="s">
        <v>17</v>
      </c>
      <c r="B203" s="96" t="str">
        <f t="shared" si="168"/>
        <v>CNG</v>
      </c>
      <c r="C203" s="96" t="str">
        <f t="shared" si="168"/>
        <v>Commercial - Public lights</v>
      </c>
      <c r="E203" s="123"/>
      <c r="F203" s="123"/>
      <c r="I203" s="187"/>
      <c r="J203" s="190">
        <f t="shared" si="169"/>
        <v>0</v>
      </c>
      <c r="K203" s="190">
        <f t="shared" si="169"/>
        <v>0</v>
      </c>
      <c r="L203" s="190">
        <f t="shared" si="169"/>
        <v>0</v>
      </c>
      <c r="M203" s="190">
        <f t="shared" si="169"/>
        <v>0</v>
      </c>
      <c r="N203" s="190">
        <f t="shared" si="169"/>
        <v>0</v>
      </c>
      <c r="O203" s="190">
        <f t="shared" si="169"/>
        <v>0</v>
      </c>
      <c r="P203" s="190">
        <f t="shared" si="169"/>
        <v>0</v>
      </c>
      <c r="Q203" s="190">
        <f t="shared" si="169"/>
        <v>0</v>
      </c>
      <c r="R203" s="190">
        <f t="shared" si="169"/>
        <v>0</v>
      </c>
      <c r="S203" s="190">
        <f t="shared" si="169"/>
        <v>0</v>
      </c>
      <c r="T203" s="190">
        <f t="shared" si="170"/>
        <v>0</v>
      </c>
      <c r="U203" s="190">
        <f t="shared" si="170"/>
        <v>0</v>
      </c>
      <c r="V203" s="190">
        <f t="shared" si="170"/>
        <v>0</v>
      </c>
      <c r="W203" s="190">
        <f t="shared" si="170"/>
        <v>0</v>
      </c>
      <c r="X203" s="190">
        <f t="shared" si="170"/>
        <v>0</v>
      </c>
      <c r="Y203" s="190">
        <f t="shared" si="170"/>
        <v>0</v>
      </c>
      <c r="Z203" s="190">
        <f t="shared" si="170"/>
        <v>0</v>
      </c>
      <c r="AA203" s="190">
        <f t="shared" si="170"/>
        <v>0</v>
      </c>
      <c r="AB203" s="190">
        <f t="shared" si="170"/>
        <v>0</v>
      </c>
      <c r="AC203" s="190">
        <f t="shared" si="170"/>
        <v>0</v>
      </c>
      <c r="AD203" s="190">
        <f t="shared" si="171"/>
        <v>0</v>
      </c>
      <c r="AE203" s="190">
        <f t="shared" si="171"/>
        <v>0</v>
      </c>
      <c r="AF203" s="190">
        <f t="shared" si="171"/>
        <v>0</v>
      </c>
      <c r="AG203" s="190">
        <f t="shared" si="171"/>
        <v>0</v>
      </c>
      <c r="AH203" s="190">
        <f t="shared" si="171"/>
        <v>0</v>
      </c>
      <c r="AI203" s="190">
        <f t="shared" si="171"/>
        <v>0</v>
      </c>
      <c r="AJ203" s="190">
        <f t="shared" si="171"/>
        <v>0</v>
      </c>
      <c r="AK203" s="190">
        <f t="shared" si="171"/>
        <v>0</v>
      </c>
      <c r="AL203" s="190">
        <f t="shared" si="171"/>
        <v>0</v>
      </c>
      <c r="AM203" s="190">
        <f t="shared" si="171"/>
        <v>0</v>
      </c>
      <c r="AN203" s="190">
        <f t="shared" si="172"/>
        <v>0</v>
      </c>
      <c r="AO203" s="190">
        <f t="shared" si="172"/>
        <v>0</v>
      </c>
      <c r="AP203" s="190">
        <f t="shared" si="172"/>
        <v>0</v>
      </c>
      <c r="AQ203" s="190">
        <f t="shared" si="172"/>
        <v>0</v>
      </c>
      <c r="AR203" s="190">
        <f t="shared" si="172"/>
        <v>0</v>
      </c>
      <c r="AS203" s="190">
        <f t="shared" si="172"/>
        <v>0</v>
      </c>
      <c r="AT203" s="190">
        <f t="shared" si="172"/>
        <v>0</v>
      </c>
      <c r="AU203" s="190">
        <f t="shared" si="172"/>
        <v>0</v>
      </c>
      <c r="AV203" s="190">
        <f t="shared" si="172"/>
        <v>0</v>
      </c>
    </row>
    <row r="204" spans="1:48">
      <c r="A204" s="4" t="s">
        <v>17</v>
      </c>
      <c r="B204" s="96" t="str">
        <f t="shared" si="168"/>
        <v>CNT</v>
      </c>
      <c r="C204" s="96" t="str">
        <f t="shared" si="168"/>
        <v>Commercial - Public Water</v>
      </c>
      <c r="E204" s="123"/>
      <c r="F204" s="123"/>
      <c r="I204" s="187"/>
      <c r="J204" s="190">
        <f t="shared" si="169"/>
        <v>0</v>
      </c>
      <c r="K204" s="190">
        <f t="shared" si="169"/>
        <v>0</v>
      </c>
      <c r="L204" s="190">
        <f t="shared" si="169"/>
        <v>0</v>
      </c>
      <c r="M204" s="190">
        <f t="shared" si="169"/>
        <v>0</v>
      </c>
      <c r="N204" s="190">
        <f t="shared" si="169"/>
        <v>0</v>
      </c>
      <c r="O204" s="190">
        <f t="shared" si="169"/>
        <v>0</v>
      </c>
      <c r="P204" s="190">
        <f t="shared" si="169"/>
        <v>0</v>
      </c>
      <c r="Q204" s="190">
        <f t="shared" si="169"/>
        <v>0</v>
      </c>
      <c r="R204" s="190">
        <f t="shared" si="169"/>
        <v>0</v>
      </c>
      <c r="S204" s="190">
        <f t="shared" si="169"/>
        <v>0</v>
      </c>
      <c r="T204" s="190">
        <f t="shared" si="170"/>
        <v>0</v>
      </c>
      <c r="U204" s="190">
        <f t="shared" si="170"/>
        <v>0</v>
      </c>
      <c r="V204" s="190">
        <f t="shared" si="170"/>
        <v>0</v>
      </c>
      <c r="W204" s="190">
        <f t="shared" si="170"/>
        <v>0</v>
      </c>
      <c r="X204" s="190">
        <f t="shared" si="170"/>
        <v>0</v>
      </c>
      <c r="Y204" s="190">
        <f t="shared" si="170"/>
        <v>0</v>
      </c>
      <c r="Z204" s="190">
        <f t="shared" si="170"/>
        <v>0</v>
      </c>
      <c r="AA204" s="190">
        <f t="shared" si="170"/>
        <v>0</v>
      </c>
      <c r="AB204" s="190">
        <f t="shared" si="170"/>
        <v>0</v>
      </c>
      <c r="AC204" s="190">
        <f t="shared" si="170"/>
        <v>0</v>
      </c>
      <c r="AD204" s="190">
        <f t="shared" si="171"/>
        <v>0</v>
      </c>
      <c r="AE204" s="190">
        <f t="shared" si="171"/>
        <v>0</v>
      </c>
      <c r="AF204" s="190">
        <f t="shared" si="171"/>
        <v>0</v>
      </c>
      <c r="AG204" s="190">
        <f t="shared" si="171"/>
        <v>0</v>
      </c>
      <c r="AH204" s="190">
        <f t="shared" si="171"/>
        <v>0</v>
      </c>
      <c r="AI204" s="190">
        <f t="shared" si="171"/>
        <v>0</v>
      </c>
      <c r="AJ204" s="190">
        <f t="shared" si="171"/>
        <v>0</v>
      </c>
      <c r="AK204" s="190">
        <f t="shared" si="171"/>
        <v>0</v>
      </c>
      <c r="AL204" s="190">
        <f t="shared" si="171"/>
        <v>0</v>
      </c>
      <c r="AM204" s="190">
        <f t="shared" si="171"/>
        <v>0</v>
      </c>
      <c r="AN204" s="190">
        <f t="shared" si="172"/>
        <v>0</v>
      </c>
      <c r="AO204" s="190">
        <f t="shared" si="172"/>
        <v>0</v>
      </c>
      <c r="AP204" s="190">
        <f t="shared" si="172"/>
        <v>0</v>
      </c>
      <c r="AQ204" s="190">
        <f t="shared" si="172"/>
        <v>0</v>
      </c>
      <c r="AR204" s="190">
        <f t="shared" si="172"/>
        <v>0</v>
      </c>
      <c r="AS204" s="190">
        <f t="shared" si="172"/>
        <v>0</v>
      </c>
      <c r="AT204" s="190">
        <f t="shared" si="172"/>
        <v>0</v>
      </c>
      <c r="AU204" s="190">
        <f t="shared" si="172"/>
        <v>0</v>
      </c>
      <c r="AV204" s="190">
        <f t="shared" si="172"/>
        <v>0</v>
      </c>
    </row>
    <row r="205" spans="1:48">
      <c r="A205" s="4" t="s">
        <v>17</v>
      </c>
      <c r="B205" s="96" t="str">
        <f t="shared" si="168"/>
        <v>CNO</v>
      </c>
      <c r="C205" s="96" t="str">
        <f t="shared" si="168"/>
        <v>Commercial - Other</v>
      </c>
      <c r="E205" s="123"/>
      <c r="F205" s="123"/>
      <c r="I205" s="187"/>
      <c r="J205" s="190">
        <f t="shared" si="169"/>
        <v>0</v>
      </c>
      <c r="K205" s="190">
        <f t="shared" si="169"/>
        <v>0</v>
      </c>
      <c r="L205" s="190">
        <f t="shared" si="169"/>
        <v>0</v>
      </c>
      <c r="M205" s="190">
        <f t="shared" si="169"/>
        <v>0</v>
      </c>
      <c r="N205" s="190">
        <f t="shared" si="169"/>
        <v>0</v>
      </c>
      <c r="O205" s="190">
        <f t="shared" si="169"/>
        <v>0</v>
      </c>
      <c r="P205" s="190">
        <f t="shared" si="169"/>
        <v>0</v>
      </c>
      <c r="Q205" s="190">
        <f t="shared" si="169"/>
        <v>0</v>
      </c>
      <c r="R205" s="190">
        <f t="shared" si="169"/>
        <v>0</v>
      </c>
      <c r="S205" s="190">
        <f t="shared" si="169"/>
        <v>0</v>
      </c>
      <c r="T205" s="190">
        <f t="shared" si="170"/>
        <v>0</v>
      </c>
      <c r="U205" s="190">
        <f t="shared" si="170"/>
        <v>0</v>
      </c>
      <c r="V205" s="190">
        <f t="shared" si="170"/>
        <v>0</v>
      </c>
      <c r="W205" s="190">
        <f t="shared" si="170"/>
        <v>0</v>
      </c>
      <c r="X205" s="190">
        <f t="shared" si="170"/>
        <v>0</v>
      </c>
      <c r="Y205" s="190">
        <f t="shared" si="170"/>
        <v>0</v>
      </c>
      <c r="Z205" s="190">
        <f t="shared" si="170"/>
        <v>0</v>
      </c>
      <c r="AA205" s="190">
        <f t="shared" si="170"/>
        <v>0</v>
      </c>
      <c r="AB205" s="190">
        <f t="shared" si="170"/>
        <v>0</v>
      </c>
      <c r="AC205" s="190">
        <f t="shared" si="170"/>
        <v>0.25756360012185875</v>
      </c>
      <c r="AD205" s="190">
        <f t="shared" si="171"/>
        <v>0.51385822669371428</v>
      </c>
      <c r="AE205" s="190">
        <f t="shared" si="171"/>
        <v>0.78690708123284203</v>
      </c>
      <c r="AF205" s="190">
        <f t="shared" si="171"/>
        <v>1.0583766303290516</v>
      </c>
      <c r="AG205" s="190">
        <f t="shared" si="171"/>
        <v>1.3283162441361887</v>
      </c>
      <c r="AH205" s="190">
        <f t="shared" si="171"/>
        <v>1.5967728080131167</v>
      </c>
      <c r="AI205" s="190">
        <f t="shared" si="171"/>
        <v>1.8637908931368994</v>
      </c>
      <c r="AJ205" s="190">
        <f t="shared" si="171"/>
        <v>2.1473140199562049</v>
      </c>
      <c r="AK205" s="190">
        <f t="shared" si="171"/>
        <v>2.4290900595870601</v>
      </c>
      <c r="AL205" s="190">
        <f t="shared" si="171"/>
        <v>2.7091751469838266</v>
      </c>
      <c r="AM205" s="190">
        <f t="shared" si="171"/>
        <v>2.7091751469838266</v>
      </c>
      <c r="AN205" s="190">
        <f t="shared" si="172"/>
        <v>2.7091751469838266</v>
      </c>
      <c r="AO205" s="190">
        <f t="shared" si="172"/>
        <v>2.7091751469838266</v>
      </c>
      <c r="AP205" s="190">
        <f t="shared" si="172"/>
        <v>2.7091751469838266</v>
      </c>
      <c r="AQ205" s="190">
        <f t="shared" si="172"/>
        <v>2.7091751469838266</v>
      </c>
      <c r="AR205" s="190">
        <f t="shared" si="172"/>
        <v>2.7091751469838266</v>
      </c>
      <c r="AS205" s="190">
        <f t="shared" si="172"/>
        <v>2.7091751469838266</v>
      </c>
      <c r="AT205" s="190">
        <f t="shared" si="172"/>
        <v>2.7091751469838266</v>
      </c>
      <c r="AU205" s="190">
        <f t="shared" si="172"/>
        <v>2.7091751469838266</v>
      </c>
      <c r="AV205" s="190">
        <f t="shared" si="172"/>
        <v>2.7091751469838266</v>
      </c>
    </row>
    <row r="206" spans="1:48">
      <c r="A206" s="4" t="s">
        <v>17</v>
      </c>
      <c r="E206" s="123"/>
      <c r="F206" s="123"/>
      <c r="I206" s="187"/>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row>
    <row r="207" spans="1:48">
      <c r="A207" s="4" t="s">
        <v>17</v>
      </c>
      <c r="E207" s="123"/>
      <c r="F207" s="123"/>
      <c r="I207" s="187" t="s">
        <v>233</v>
      </c>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row>
    <row r="208" spans="1:48">
      <c r="A208" s="4" t="s">
        <v>17</v>
      </c>
      <c r="B208" s="96" t="str">
        <f t="shared" ref="B208:C216" si="173">B197</f>
        <v>CNC</v>
      </c>
      <c r="C208" s="96" t="str">
        <f t="shared" si="173"/>
        <v>Commercial - Cooling</v>
      </c>
      <c r="E208" s="98"/>
      <c r="F208" s="123"/>
      <c r="I208" s="187"/>
      <c r="J208" s="190">
        <f t="shared" ref="J208:S216" si="174">INDEX(J$49:J$52,MATCH($I$207,$B$49:$B$52,0),1)*INDEX(J$81:J$89,MATCH($B208,$B$81:$B$89,0))*INDEX(J$138:J$146,MATCH($B208,$B$138:$B$146,0))/1000</f>
        <v>0</v>
      </c>
      <c r="K208" s="190">
        <f t="shared" si="174"/>
        <v>0</v>
      </c>
      <c r="L208" s="190">
        <f t="shared" si="174"/>
        <v>0</v>
      </c>
      <c r="M208" s="190">
        <f t="shared" si="174"/>
        <v>0</v>
      </c>
      <c r="N208" s="190">
        <f t="shared" si="174"/>
        <v>0</v>
      </c>
      <c r="O208" s="190">
        <f t="shared" si="174"/>
        <v>0</v>
      </c>
      <c r="P208" s="190">
        <f t="shared" si="174"/>
        <v>0</v>
      </c>
      <c r="Q208" s="190">
        <f t="shared" si="174"/>
        <v>0</v>
      </c>
      <c r="R208" s="190">
        <f t="shared" si="174"/>
        <v>0</v>
      </c>
      <c r="S208" s="190">
        <f t="shared" si="174"/>
        <v>0</v>
      </c>
      <c r="T208" s="190">
        <f t="shared" ref="T208:AC216" si="175">INDEX(T$49:T$52,MATCH($I$207,$B$49:$B$52,0),1)*INDEX(T$81:T$89,MATCH($B208,$B$81:$B$89,0))*INDEX(T$138:T$146,MATCH($B208,$B$138:$B$146,0))/1000</f>
        <v>0</v>
      </c>
      <c r="U208" s="190">
        <f t="shared" si="175"/>
        <v>0</v>
      </c>
      <c r="V208" s="190">
        <f t="shared" si="175"/>
        <v>0</v>
      </c>
      <c r="W208" s="190">
        <f t="shared" si="175"/>
        <v>0</v>
      </c>
      <c r="X208" s="190">
        <f t="shared" si="175"/>
        <v>0</v>
      </c>
      <c r="Y208" s="190">
        <f t="shared" si="175"/>
        <v>0</v>
      </c>
      <c r="Z208" s="190">
        <f t="shared" si="175"/>
        <v>0</v>
      </c>
      <c r="AA208" s="190">
        <f t="shared" si="175"/>
        <v>0</v>
      </c>
      <c r="AB208" s="190">
        <f t="shared" si="175"/>
        <v>0</v>
      </c>
      <c r="AC208" s="190">
        <f t="shared" si="175"/>
        <v>0</v>
      </c>
      <c r="AD208" s="190">
        <f t="shared" ref="AD208:AM216" si="176">INDEX(AD$49:AD$52,MATCH($I$207,$B$49:$B$52,0),1)*INDEX(AD$81:AD$89,MATCH($B208,$B$81:$B$89,0))*INDEX(AD$138:AD$146,MATCH($B208,$B$138:$B$146,0))/1000</f>
        <v>0</v>
      </c>
      <c r="AE208" s="190">
        <f t="shared" si="176"/>
        <v>0</v>
      </c>
      <c r="AF208" s="190">
        <f t="shared" si="176"/>
        <v>0</v>
      </c>
      <c r="AG208" s="190">
        <f t="shared" si="176"/>
        <v>0</v>
      </c>
      <c r="AH208" s="190">
        <f t="shared" si="176"/>
        <v>0</v>
      </c>
      <c r="AI208" s="190">
        <f t="shared" si="176"/>
        <v>0</v>
      </c>
      <c r="AJ208" s="190">
        <f t="shared" si="176"/>
        <v>0</v>
      </c>
      <c r="AK208" s="190">
        <f t="shared" si="176"/>
        <v>0</v>
      </c>
      <c r="AL208" s="190">
        <f t="shared" si="176"/>
        <v>0</v>
      </c>
      <c r="AM208" s="190">
        <f t="shared" si="176"/>
        <v>1.9308348223034792</v>
      </c>
      <c r="AN208" s="190">
        <f t="shared" ref="AN208:AV216" si="177">INDEX(AN$49:AN$52,MATCH($I$207,$B$49:$B$52,0),1)*INDEX(AN$81:AN$89,MATCH($B208,$B$81:$B$89,0))*INDEX(AN$138:AN$146,MATCH($B208,$B$138:$B$146,0))/1000</f>
        <v>3.85066364606734</v>
      </c>
      <c r="AO208" s="190">
        <f t="shared" si="177"/>
        <v>5.7942074074057306</v>
      </c>
      <c r="AP208" s="190">
        <f t="shared" si="177"/>
        <v>7.7266594477057877</v>
      </c>
      <c r="AQ208" s="190">
        <f t="shared" si="177"/>
        <v>9.6483537609959082</v>
      </c>
      <c r="AR208" s="190">
        <f t="shared" si="177"/>
        <v>11.559608137371505</v>
      </c>
      <c r="AS208" s="190">
        <f t="shared" si="177"/>
        <v>13.460725236243892</v>
      </c>
      <c r="AT208" s="190">
        <f t="shared" si="177"/>
        <v>15.360385122701357</v>
      </c>
      <c r="AU208" s="190">
        <f t="shared" si="177"/>
        <v>17.250304536905816</v>
      </c>
      <c r="AV208" s="190">
        <f t="shared" si="177"/>
        <v>19.130753179897219</v>
      </c>
    </row>
    <row r="209" spans="1:48">
      <c r="A209" s="4" t="s">
        <v>17</v>
      </c>
      <c r="B209" s="96" t="str">
        <f t="shared" si="173"/>
        <v>CNH</v>
      </c>
      <c r="C209" s="96" t="str">
        <f t="shared" si="173"/>
        <v>Commercial - Space Heating</v>
      </c>
      <c r="E209" s="123"/>
      <c r="F209" s="123"/>
      <c r="I209" s="187"/>
      <c r="J209" s="190">
        <f t="shared" si="174"/>
        <v>0</v>
      </c>
      <c r="K209" s="190">
        <f t="shared" si="174"/>
        <v>0</v>
      </c>
      <c r="L209" s="190">
        <f t="shared" si="174"/>
        <v>0</v>
      </c>
      <c r="M209" s="190">
        <f t="shared" si="174"/>
        <v>0</v>
      </c>
      <c r="N209" s="190">
        <f t="shared" si="174"/>
        <v>0</v>
      </c>
      <c r="O209" s="190">
        <f t="shared" si="174"/>
        <v>0</v>
      </c>
      <c r="P209" s="190">
        <f t="shared" si="174"/>
        <v>0</v>
      </c>
      <c r="Q209" s="190">
        <f t="shared" si="174"/>
        <v>0</v>
      </c>
      <c r="R209" s="190">
        <f t="shared" si="174"/>
        <v>0</v>
      </c>
      <c r="S209" s="190">
        <f t="shared" si="174"/>
        <v>0</v>
      </c>
      <c r="T209" s="190">
        <f t="shared" si="175"/>
        <v>0</v>
      </c>
      <c r="U209" s="190">
        <f t="shared" si="175"/>
        <v>0</v>
      </c>
      <c r="V209" s="190">
        <f t="shared" si="175"/>
        <v>0</v>
      </c>
      <c r="W209" s="190">
        <f t="shared" si="175"/>
        <v>0</v>
      </c>
      <c r="X209" s="190">
        <f t="shared" si="175"/>
        <v>0</v>
      </c>
      <c r="Y209" s="190">
        <f t="shared" si="175"/>
        <v>0</v>
      </c>
      <c r="Z209" s="190">
        <f t="shared" si="175"/>
        <v>0</v>
      </c>
      <c r="AA209" s="190">
        <f t="shared" si="175"/>
        <v>0</v>
      </c>
      <c r="AB209" s="190">
        <f t="shared" si="175"/>
        <v>0</v>
      </c>
      <c r="AC209" s="190">
        <f t="shared" si="175"/>
        <v>0</v>
      </c>
      <c r="AD209" s="190">
        <f t="shared" si="176"/>
        <v>0</v>
      </c>
      <c r="AE209" s="190">
        <f t="shared" si="176"/>
        <v>0</v>
      </c>
      <c r="AF209" s="190">
        <f t="shared" si="176"/>
        <v>0</v>
      </c>
      <c r="AG209" s="190">
        <f t="shared" si="176"/>
        <v>0</v>
      </c>
      <c r="AH209" s="190">
        <f t="shared" si="176"/>
        <v>0</v>
      </c>
      <c r="AI209" s="190">
        <f t="shared" si="176"/>
        <v>0</v>
      </c>
      <c r="AJ209" s="190">
        <f t="shared" si="176"/>
        <v>0</v>
      </c>
      <c r="AK209" s="190">
        <f t="shared" si="176"/>
        <v>0</v>
      </c>
      <c r="AL209" s="190">
        <f t="shared" si="176"/>
        <v>0</v>
      </c>
      <c r="AM209" s="190">
        <f t="shared" si="176"/>
        <v>0.18413664664330542</v>
      </c>
      <c r="AN209" s="190">
        <f t="shared" si="177"/>
        <v>0.36722369150781714</v>
      </c>
      <c r="AO209" s="190">
        <f t="shared" si="177"/>
        <v>0.55257234312909942</v>
      </c>
      <c r="AP209" s="190">
        <f t="shared" si="177"/>
        <v>0.73686321793078546</v>
      </c>
      <c r="AQ209" s="190">
        <f t="shared" si="177"/>
        <v>0.92012816770033912</v>
      </c>
      <c r="AR209" s="190">
        <f t="shared" si="177"/>
        <v>1.1023974989154717</v>
      </c>
      <c r="AS209" s="190">
        <f t="shared" si="177"/>
        <v>1.2837000750959571</v>
      </c>
      <c r="AT209" s="190">
        <f t="shared" si="177"/>
        <v>1.4648636822644736</v>
      </c>
      <c r="AU209" s="190">
        <f t="shared" si="177"/>
        <v>1.6450983762620275</v>
      </c>
      <c r="AV209" s="190">
        <f t="shared" si="177"/>
        <v>1.8244298774892038</v>
      </c>
    </row>
    <row r="210" spans="1:48">
      <c r="A210" s="4" t="s">
        <v>17</v>
      </c>
      <c r="B210" s="96" t="str">
        <f t="shared" si="173"/>
        <v>CNK</v>
      </c>
      <c r="C210" s="96" t="str">
        <f t="shared" si="173"/>
        <v>Commercial - Cooking</v>
      </c>
      <c r="E210" s="123"/>
      <c r="F210" s="123"/>
      <c r="I210" s="187"/>
      <c r="J210" s="190">
        <f t="shared" si="174"/>
        <v>0</v>
      </c>
      <c r="K210" s="190">
        <f t="shared" si="174"/>
        <v>0</v>
      </c>
      <c r="L210" s="190">
        <f t="shared" si="174"/>
        <v>0</v>
      </c>
      <c r="M210" s="190">
        <f t="shared" si="174"/>
        <v>0</v>
      </c>
      <c r="N210" s="190">
        <f t="shared" si="174"/>
        <v>0</v>
      </c>
      <c r="O210" s="190">
        <f t="shared" si="174"/>
        <v>0</v>
      </c>
      <c r="P210" s="190">
        <f t="shared" si="174"/>
        <v>0</v>
      </c>
      <c r="Q210" s="190">
        <f t="shared" si="174"/>
        <v>0</v>
      </c>
      <c r="R210" s="190">
        <f t="shared" si="174"/>
        <v>0</v>
      </c>
      <c r="S210" s="190">
        <f t="shared" si="174"/>
        <v>0</v>
      </c>
      <c r="T210" s="190">
        <f t="shared" si="175"/>
        <v>0</v>
      </c>
      <c r="U210" s="190">
        <f t="shared" si="175"/>
        <v>0</v>
      </c>
      <c r="V210" s="190">
        <f t="shared" si="175"/>
        <v>0</v>
      </c>
      <c r="W210" s="190">
        <f t="shared" si="175"/>
        <v>0</v>
      </c>
      <c r="X210" s="190">
        <f t="shared" si="175"/>
        <v>0</v>
      </c>
      <c r="Y210" s="190">
        <f t="shared" si="175"/>
        <v>0</v>
      </c>
      <c r="Z210" s="190">
        <f t="shared" si="175"/>
        <v>0</v>
      </c>
      <c r="AA210" s="190">
        <f t="shared" si="175"/>
        <v>0</v>
      </c>
      <c r="AB210" s="190">
        <f t="shared" si="175"/>
        <v>0</v>
      </c>
      <c r="AC210" s="190">
        <f t="shared" si="175"/>
        <v>0</v>
      </c>
      <c r="AD210" s="190">
        <f t="shared" si="176"/>
        <v>0</v>
      </c>
      <c r="AE210" s="190">
        <f t="shared" si="176"/>
        <v>0</v>
      </c>
      <c r="AF210" s="190">
        <f t="shared" si="176"/>
        <v>0</v>
      </c>
      <c r="AG210" s="190">
        <f t="shared" si="176"/>
        <v>0</v>
      </c>
      <c r="AH210" s="190">
        <f t="shared" si="176"/>
        <v>0</v>
      </c>
      <c r="AI210" s="190">
        <f t="shared" si="176"/>
        <v>0</v>
      </c>
      <c r="AJ210" s="190">
        <f t="shared" si="176"/>
        <v>0</v>
      </c>
      <c r="AK210" s="190">
        <f t="shared" si="176"/>
        <v>0</v>
      </c>
      <c r="AL210" s="190">
        <f t="shared" si="176"/>
        <v>0</v>
      </c>
      <c r="AM210" s="190">
        <f t="shared" si="176"/>
        <v>0.13772478010474798</v>
      </c>
      <c r="AN210" s="190">
        <f t="shared" si="177"/>
        <v>0.27466451184016216</v>
      </c>
      <c r="AO210" s="190">
        <f t="shared" si="177"/>
        <v>0.4132958095888481</v>
      </c>
      <c r="AP210" s="190">
        <f t="shared" si="177"/>
        <v>0.55113594445641023</v>
      </c>
      <c r="AQ210" s="190">
        <f t="shared" si="177"/>
        <v>0.6882087399484047</v>
      </c>
      <c r="AR210" s="190">
        <f t="shared" si="177"/>
        <v>0.82453686375784452</v>
      </c>
      <c r="AS210" s="190">
        <f t="shared" si="177"/>
        <v>0.96014190431911461</v>
      </c>
      <c r="AT210" s="190">
        <f t="shared" si="177"/>
        <v>1.0956430031775042</v>
      </c>
      <c r="AU210" s="190">
        <f t="shared" si="177"/>
        <v>1.2304493225634783</v>
      </c>
      <c r="AV210" s="190">
        <f t="shared" si="177"/>
        <v>1.3645801000192606</v>
      </c>
    </row>
    <row r="211" spans="1:48">
      <c r="A211" s="4" t="s">
        <v>17</v>
      </c>
      <c r="B211" s="96" t="str">
        <f t="shared" si="173"/>
        <v>CNL</v>
      </c>
      <c r="C211" s="96" t="str">
        <f t="shared" si="173"/>
        <v>Commercial - Lighting</v>
      </c>
      <c r="E211" s="123"/>
      <c r="F211" s="123"/>
      <c r="I211" s="187"/>
      <c r="J211" s="190">
        <f t="shared" si="174"/>
        <v>0</v>
      </c>
      <c r="K211" s="190">
        <f t="shared" si="174"/>
        <v>0</v>
      </c>
      <c r="L211" s="190">
        <f t="shared" si="174"/>
        <v>0</v>
      </c>
      <c r="M211" s="190">
        <f t="shared" si="174"/>
        <v>0</v>
      </c>
      <c r="N211" s="190">
        <f t="shared" si="174"/>
        <v>0</v>
      </c>
      <c r="O211" s="190">
        <f t="shared" si="174"/>
        <v>0</v>
      </c>
      <c r="P211" s="190">
        <f t="shared" si="174"/>
        <v>0</v>
      </c>
      <c r="Q211" s="190">
        <f t="shared" si="174"/>
        <v>0</v>
      </c>
      <c r="R211" s="190">
        <f t="shared" si="174"/>
        <v>0</v>
      </c>
      <c r="S211" s="190">
        <f t="shared" si="174"/>
        <v>0</v>
      </c>
      <c r="T211" s="190">
        <f t="shared" si="175"/>
        <v>0</v>
      </c>
      <c r="U211" s="190">
        <f t="shared" si="175"/>
        <v>0</v>
      </c>
      <c r="V211" s="190">
        <f t="shared" si="175"/>
        <v>0</v>
      </c>
      <c r="W211" s="190">
        <f t="shared" si="175"/>
        <v>0</v>
      </c>
      <c r="X211" s="190">
        <f t="shared" si="175"/>
        <v>0</v>
      </c>
      <c r="Y211" s="190">
        <f t="shared" si="175"/>
        <v>0</v>
      </c>
      <c r="Z211" s="190">
        <f t="shared" si="175"/>
        <v>0</v>
      </c>
      <c r="AA211" s="190">
        <f t="shared" si="175"/>
        <v>0</v>
      </c>
      <c r="AB211" s="190">
        <f t="shared" si="175"/>
        <v>0</v>
      </c>
      <c r="AC211" s="190">
        <f t="shared" si="175"/>
        <v>0</v>
      </c>
      <c r="AD211" s="190">
        <f t="shared" si="176"/>
        <v>0</v>
      </c>
      <c r="AE211" s="190">
        <f t="shared" si="176"/>
        <v>0</v>
      </c>
      <c r="AF211" s="190">
        <f t="shared" si="176"/>
        <v>0</v>
      </c>
      <c r="AG211" s="190">
        <f t="shared" si="176"/>
        <v>0</v>
      </c>
      <c r="AH211" s="190">
        <f t="shared" si="176"/>
        <v>0</v>
      </c>
      <c r="AI211" s="190">
        <f t="shared" si="176"/>
        <v>0</v>
      </c>
      <c r="AJ211" s="190">
        <f t="shared" si="176"/>
        <v>0</v>
      </c>
      <c r="AK211" s="190">
        <f t="shared" si="176"/>
        <v>0</v>
      </c>
      <c r="AL211" s="190">
        <f t="shared" si="176"/>
        <v>0</v>
      </c>
      <c r="AM211" s="190">
        <f t="shared" si="176"/>
        <v>1.6802721294384835</v>
      </c>
      <c r="AN211" s="190">
        <f t="shared" si="177"/>
        <v>3.3509664988380741</v>
      </c>
      <c r="AO211" s="190">
        <f t="shared" si="177"/>
        <v>5.0422983397590855</v>
      </c>
      <c r="AP211" s="190">
        <f t="shared" si="177"/>
        <v>6.7239778222738078</v>
      </c>
      <c r="AQ211" s="190">
        <f t="shared" si="177"/>
        <v>8.3962955983069048</v>
      </c>
      <c r="AR211" s="190">
        <f t="shared" si="177"/>
        <v>10.059528218619823</v>
      </c>
      <c r="AS211" s="190">
        <f t="shared" si="177"/>
        <v>11.713939066785136</v>
      </c>
      <c r="AT211" s="190">
        <f t="shared" si="177"/>
        <v>13.367081803675893</v>
      </c>
      <c r="AU211" s="190">
        <f t="shared" si="177"/>
        <v>15.01174808060993</v>
      </c>
      <c r="AV211" s="190">
        <f t="shared" si="177"/>
        <v>16.648172599766571</v>
      </c>
    </row>
    <row r="212" spans="1:48">
      <c r="A212" s="4" t="s">
        <v>17</v>
      </c>
      <c r="B212" s="96" t="str">
        <f t="shared" si="173"/>
        <v>CNR</v>
      </c>
      <c r="C212" s="96" t="str">
        <f t="shared" si="173"/>
        <v>Commercial - Refrigeration</v>
      </c>
      <c r="E212" s="123"/>
      <c r="F212" s="123"/>
      <c r="I212" s="187"/>
      <c r="J212" s="190">
        <f t="shared" si="174"/>
        <v>0</v>
      </c>
      <c r="K212" s="190">
        <f t="shared" si="174"/>
        <v>0</v>
      </c>
      <c r="L212" s="190">
        <f t="shared" si="174"/>
        <v>0</v>
      </c>
      <c r="M212" s="190">
        <f t="shared" si="174"/>
        <v>0</v>
      </c>
      <c r="N212" s="190">
        <f t="shared" si="174"/>
        <v>0</v>
      </c>
      <c r="O212" s="190">
        <f t="shared" si="174"/>
        <v>0</v>
      </c>
      <c r="P212" s="190">
        <f t="shared" si="174"/>
        <v>0</v>
      </c>
      <c r="Q212" s="190">
        <f t="shared" si="174"/>
        <v>0</v>
      </c>
      <c r="R212" s="190">
        <f t="shared" si="174"/>
        <v>0</v>
      </c>
      <c r="S212" s="190">
        <f t="shared" si="174"/>
        <v>0</v>
      </c>
      <c r="T212" s="190">
        <f t="shared" si="175"/>
        <v>0</v>
      </c>
      <c r="U212" s="190">
        <f t="shared" si="175"/>
        <v>0</v>
      </c>
      <c r="V212" s="190">
        <f t="shared" si="175"/>
        <v>0</v>
      </c>
      <c r="W212" s="190">
        <f t="shared" si="175"/>
        <v>0</v>
      </c>
      <c r="X212" s="190">
        <f t="shared" si="175"/>
        <v>0</v>
      </c>
      <c r="Y212" s="190">
        <f t="shared" si="175"/>
        <v>0</v>
      </c>
      <c r="Z212" s="190">
        <f t="shared" si="175"/>
        <v>0</v>
      </c>
      <c r="AA212" s="190">
        <f t="shared" si="175"/>
        <v>0</v>
      </c>
      <c r="AB212" s="190">
        <f t="shared" si="175"/>
        <v>0</v>
      </c>
      <c r="AC212" s="190">
        <f t="shared" si="175"/>
        <v>0</v>
      </c>
      <c r="AD212" s="190">
        <f t="shared" si="176"/>
        <v>0</v>
      </c>
      <c r="AE212" s="190">
        <f t="shared" si="176"/>
        <v>0</v>
      </c>
      <c r="AF212" s="190">
        <f t="shared" si="176"/>
        <v>0</v>
      </c>
      <c r="AG212" s="190">
        <f t="shared" si="176"/>
        <v>0</v>
      </c>
      <c r="AH212" s="190">
        <f t="shared" si="176"/>
        <v>0</v>
      </c>
      <c r="AI212" s="190">
        <f t="shared" si="176"/>
        <v>0</v>
      </c>
      <c r="AJ212" s="190">
        <f t="shared" si="176"/>
        <v>0</v>
      </c>
      <c r="AK212" s="190">
        <f t="shared" si="176"/>
        <v>0</v>
      </c>
      <c r="AL212" s="190">
        <f t="shared" si="176"/>
        <v>0</v>
      </c>
      <c r="AM212" s="190">
        <f t="shared" si="176"/>
        <v>0.40874996356479354</v>
      </c>
      <c r="AN212" s="190">
        <f t="shared" si="177"/>
        <v>0.81517000151912156</v>
      </c>
      <c r="AO212" s="190">
        <f t="shared" si="177"/>
        <v>1.2266103963458033</v>
      </c>
      <c r="AP212" s="190">
        <f t="shared" si="177"/>
        <v>1.6357027184539283</v>
      </c>
      <c r="AQ212" s="190">
        <f t="shared" si="177"/>
        <v>2.0425176730355519</v>
      </c>
      <c r="AR212" s="190">
        <f t="shared" si="177"/>
        <v>2.4471225349753105</v>
      </c>
      <c r="AS212" s="190">
        <f t="shared" si="177"/>
        <v>2.8495813760528912</v>
      </c>
      <c r="AT212" s="190">
        <f t="shared" si="177"/>
        <v>3.2517317311250271</v>
      </c>
      <c r="AU212" s="190">
        <f t="shared" si="177"/>
        <v>3.6518200674099885</v>
      </c>
      <c r="AV212" s="190">
        <f t="shared" si="177"/>
        <v>4.0499034795328468</v>
      </c>
    </row>
    <row r="213" spans="1:48">
      <c r="A213" s="4" t="s">
        <v>17</v>
      </c>
      <c r="B213" s="96" t="str">
        <f t="shared" si="173"/>
        <v>CNW</v>
      </c>
      <c r="C213" s="96" t="str">
        <f t="shared" si="173"/>
        <v>Commercial - Water Heating</v>
      </c>
      <c r="E213" s="123"/>
      <c r="F213" s="123"/>
      <c r="I213" s="181"/>
      <c r="J213" s="190">
        <f t="shared" si="174"/>
        <v>0</v>
      </c>
      <c r="K213" s="190">
        <f t="shared" si="174"/>
        <v>0</v>
      </c>
      <c r="L213" s="190">
        <f t="shared" si="174"/>
        <v>0</v>
      </c>
      <c r="M213" s="190">
        <f t="shared" si="174"/>
        <v>0</v>
      </c>
      <c r="N213" s="190">
        <f t="shared" si="174"/>
        <v>0</v>
      </c>
      <c r="O213" s="190">
        <f t="shared" si="174"/>
        <v>0</v>
      </c>
      <c r="P213" s="190">
        <f t="shared" si="174"/>
        <v>0</v>
      </c>
      <c r="Q213" s="190">
        <f t="shared" si="174"/>
        <v>0</v>
      </c>
      <c r="R213" s="190">
        <f t="shared" si="174"/>
        <v>0</v>
      </c>
      <c r="S213" s="190">
        <f t="shared" si="174"/>
        <v>0</v>
      </c>
      <c r="T213" s="190">
        <f t="shared" si="175"/>
        <v>0</v>
      </c>
      <c r="U213" s="190">
        <f t="shared" si="175"/>
        <v>0</v>
      </c>
      <c r="V213" s="190">
        <f t="shared" si="175"/>
        <v>0</v>
      </c>
      <c r="W213" s="190">
        <f t="shared" si="175"/>
        <v>0</v>
      </c>
      <c r="X213" s="190">
        <f t="shared" si="175"/>
        <v>0</v>
      </c>
      <c r="Y213" s="190">
        <f t="shared" si="175"/>
        <v>0</v>
      </c>
      <c r="Z213" s="190">
        <f t="shared" si="175"/>
        <v>0</v>
      </c>
      <c r="AA213" s="190">
        <f t="shared" si="175"/>
        <v>0</v>
      </c>
      <c r="AB213" s="190">
        <f t="shared" si="175"/>
        <v>0</v>
      </c>
      <c r="AC213" s="190">
        <f t="shared" si="175"/>
        <v>0</v>
      </c>
      <c r="AD213" s="190">
        <f t="shared" si="176"/>
        <v>0</v>
      </c>
      <c r="AE213" s="190">
        <f t="shared" si="176"/>
        <v>0</v>
      </c>
      <c r="AF213" s="190">
        <f t="shared" si="176"/>
        <v>0</v>
      </c>
      <c r="AG213" s="190">
        <f t="shared" si="176"/>
        <v>0</v>
      </c>
      <c r="AH213" s="190">
        <f t="shared" si="176"/>
        <v>0</v>
      </c>
      <c r="AI213" s="190">
        <f t="shared" si="176"/>
        <v>0</v>
      </c>
      <c r="AJ213" s="190">
        <f t="shared" si="176"/>
        <v>0</v>
      </c>
      <c r="AK213" s="190">
        <f t="shared" si="176"/>
        <v>0</v>
      </c>
      <c r="AL213" s="190">
        <f t="shared" si="176"/>
        <v>0</v>
      </c>
      <c r="AM213" s="190">
        <f t="shared" si="176"/>
        <v>0.21307717566141268</v>
      </c>
      <c r="AN213" s="190">
        <f t="shared" si="177"/>
        <v>0.42493978493057544</v>
      </c>
      <c r="AO213" s="190">
        <f t="shared" si="177"/>
        <v>0.63941945489338126</v>
      </c>
      <c r="AP213" s="190">
        <f t="shared" si="177"/>
        <v>0.85267509856208246</v>
      </c>
      <c r="AQ213" s="190">
        <f t="shared" si="177"/>
        <v>1.0647435738301849</v>
      </c>
      <c r="AR213" s="190">
        <f t="shared" si="177"/>
        <v>1.2756599504070201</v>
      </c>
      <c r="AS213" s="190">
        <f t="shared" si="177"/>
        <v>1.4854576282560668</v>
      </c>
      <c r="AT213" s="190">
        <f t="shared" si="177"/>
        <v>1.6950944955054066</v>
      </c>
      <c r="AU213" s="190">
        <f t="shared" si="177"/>
        <v>1.9036564534495557</v>
      </c>
      <c r="AV213" s="190">
        <f t="shared" si="177"/>
        <v>2.11117326493265</v>
      </c>
    </row>
    <row r="214" spans="1:48">
      <c r="A214" s="4" t="s">
        <v>17</v>
      </c>
      <c r="B214" s="96" t="str">
        <f t="shared" si="173"/>
        <v>CNG</v>
      </c>
      <c r="C214" s="96" t="str">
        <f t="shared" si="173"/>
        <v>Commercial - Public lights</v>
      </c>
      <c r="E214" s="123"/>
      <c r="F214" s="123"/>
      <c r="I214" s="181"/>
      <c r="J214" s="190">
        <f t="shared" si="174"/>
        <v>0</v>
      </c>
      <c r="K214" s="190">
        <f t="shared" si="174"/>
        <v>0</v>
      </c>
      <c r="L214" s="190">
        <f t="shared" si="174"/>
        <v>0</v>
      </c>
      <c r="M214" s="190">
        <f t="shared" si="174"/>
        <v>0</v>
      </c>
      <c r="N214" s="190">
        <f t="shared" si="174"/>
        <v>0</v>
      </c>
      <c r="O214" s="190">
        <f t="shared" si="174"/>
        <v>0</v>
      </c>
      <c r="P214" s="190">
        <f t="shared" si="174"/>
        <v>0</v>
      </c>
      <c r="Q214" s="190">
        <f t="shared" si="174"/>
        <v>0</v>
      </c>
      <c r="R214" s="190">
        <f t="shared" si="174"/>
        <v>0</v>
      </c>
      <c r="S214" s="190">
        <f t="shared" si="174"/>
        <v>0</v>
      </c>
      <c r="T214" s="190">
        <f t="shared" si="175"/>
        <v>0</v>
      </c>
      <c r="U214" s="190">
        <f t="shared" si="175"/>
        <v>0</v>
      </c>
      <c r="V214" s="190">
        <f t="shared" si="175"/>
        <v>0</v>
      </c>
      <c r="W214" s="190">
        <f t="shared" si="175"/>
        <v>0</v>
      </c>
      <c r="X214" s="190">
        <f t="shared" si="175"/>
        <v>0</v>
      </c>
      <c r="Y214" s="190">
        <f t="shared" si="175"/>
        <v>0</v>
      </c>
      <c r="Z214" s="190">
        <f t="shared" si="175"/>
        <v>0</v>
      </c>
      <c r="AA214" s="190">
        <f t="shared" si="175"/>
        <v>0</v>
      </c>
      <c r="AB214" s="190">
        <f t="shared" si="175"/>
        <v>0</v>
      </c>
      <c r="AC214" s="190">
        <f t="shared" si="175"/>
        <v>0</v>
      </c>
      <c r="AD214" s="190">
        <f t="shared" si="176"/>
        <v>0</v>
      </c>
      <c r="AE214" s="190">
        <f t="shared" si="176"/>
        <v>0</v>
      </c>
      <c r="AF214" s="190">
        <f t="shared" si="176"/>
        <v>0</v>
      </c>
      <c r="AG214" s="190">
        <f t="shared" si="176"/>
        <v>0</v>
      </c>
      <c r="AH214" s="190">
        <f t="shared" si="176"/>
        <v>0</v>
      </c>
      <c r="AI214" s="190">
        <f t="shared" si="176"/>
        <v>0</v>
      </c>
      <c r="AJ214" s="190">
        <f t="shared" si="176"/>
        <v>0</v>
      </c>
      <c r="AK214" s="190">
        <f t="shared" si="176"/>
        <v>0</v>
      </c>
      <c r="AL214" s="190">
        <f t="shared" si="176"/>
        <v>0</v>
      </c>
      <c r="AM214" s="190">
        <f t="shared" si="176"/>
        <v>0</v>
      </c>
      <c r="AN214" s="190">
        <f t="shared" si="177"/>
        <v>0</v>
      </c>
      <c r="AO214" s="190">
        <f t="shared" si="177"/>
        <v>0</v>
      </c>
      <c r="AP214" s="190">
        <f t="shared" si="177"/>
        <v>0</v>
      </c>
      <c r="AQ214" s="190">
        <f t="shared" si="177"/>
        <v>0</v>
      </c>
      <c r="AR214" s="190">
        <f t="shared" si="177"/>
        <v>0</v>
      </c>
      <c r="AS214" s="190">
        <f t="shared" si="177"/>
        <v>0</v>
      </c>
      <c r="AT214" s="190">
        <f t="shared" si="177"/>
        <v>0</v>
      </c>
      <c r="AU214" s="190">
        <f t="shared" si="177"/>
        <v>0</v>
      </c>
      <c r="AV214" s="190">
        <f t="shared" si="177"/>
        <v>0</v>
      </c>
    </row>
    <row r="215" spans="1:48">
      <c r="A215" s="4" t="s">
        <v>17</v>
      </c>
      <c r="B215" s="96" t="str">
        <f t="shared" si="173"/>
        <v>CNT</v>
      </c>
      <c r="C215" s="96" t="str">
        <f t="shared" si="173"/>
        <v>Commercial - Public Water</v>
      </c>
      <c r="E215" s="123"/>
      <c r="F215" s="123"/>
      <c r="I215" s="181"/>
      <c r="J215" s="190">
        <f t="shared" si="174"/>
        <v>0</v>
      </c>
      <c r="K215" s="190">
        <f t="shared" si="174"/>
        <v>0</v>
      </c>
      <c r="L215" s="190">
        <f t="shared" si="174"/>
        <v>0</v>
      </c>
      <c r="M215" s="190">
        <f t="shared" si="174"/>
        <v>0</v>
      </c>
      <c r="N215" s="190">
        <f t="shared" si="174"/>
        <v>0</v>
      </c>
      <c r="O215" s="190">
        <f t="shared" si="174"/>
        <v>0</v>
      </c>
      <c r="P215" s="190">
        <f t="shared" si="174"/>
        <v>0</v>
      </c>
      <c r="Q215" s="190">
        <f t="shared" si="174"/>
        <v>0</v>
      </c>
      <c r="R215" s="190">
        <f t="shared" si="174"/>
        <v>0</v>
      </c>
      <c r="S215" s="190">
        <f t="shared" si="174"/>
        <v>0</v>
      </c>
      <c r="T215" s="190">
        <f t="shared" si="175"/>
        <v>0</v>
      </c>
      <c r="U215" s="190">
        <f t="shared" si="175"/>
        <v>0</v>
      </c>
      <c r="V215" s="190">
        <f t="shared" si="175"/>
        <v>0</v>
      </c>
      <c r="W215" s="190">
        <f t="shared" si="175"/>
        <v>0</v>
      </c>
      <c r="X215" s="190">
        <f t="shared" si="175"/>
        <v>0</v>
      </c>
      <c r="Y215" s="190">
        <f t="shared" si="175"/>
        <v>0</v>
      </c>
      <c r="Z215" s="190">
        <f t="shared" si="175"/>
        <v>0</v>
      </c>
      <c r="AA215" s="190">
        <f t="shared" si="175"/>
        <v>0</v>
      </c>
      <c r="AB215" s="190">
        <f t="shared" si="175"/>
        <v>0</v>
      </c>
      <c r="AC215" s="190">
        <f t="shared" si="175"/>
        <v>0</v>
      </c>
      <c r="AD215" s="190">
        <f t="shared" si="176"/>
        <v>0</v>
      </c>
      <c r="AE215" s="190">
        <f t="shared" si="176"/>
        <v>0</v>
      </c>
      <c r="AF215" s="190">
        <f t="shared" si="176"/>
        <v>0</v>
      </c>
      <c r="AG215" s="190">
        <f t="shared" si="176"/>
        <v>0</v>
      </c>
      <c r="AH215" s="190">
        <f t="shared" si="176"/>
        <v>0</v>
      </c>
      <c r="AI215" s="190">
        <f t="shared" si="176"/>
        <v>0</v>
      </c>
      <c r="AJ215" s="190">
        <f t="shared" si="176"/>
        <v>0</v>
      </c>
      <c r="AK215" s="190">
        <f t="shared" si="176"/>
        <v>0</v>
      </c>
      <c r="AL215" s="190">
        <f t="shared" si="176"/>
        <v>0</v>
      </c>
      <c r="AM215" s="190">
        <f t="shared" si="176"/>
        <v>0</v>
      </c>
      <c r="AN215" s="190">
        <f t="shared" si="177"/>
        <v>0</v>
      </c>
      <c r="AO215" s="190">
        <f t="shared" si="177"/>
        <v>0</v>
      </c>
      <c r="AP215" s="190">
        <f t="shared" si="177"/>
        <v>0</v>
      </c>
      <c r="AQ215" s="190">
        <f t="shared" si="177"/>
        <v>0</v>
      </c>
      <c r="AR215" s="190">
        <f t="shared" si="177"/>
        <v>0</v>
      </c>
      <c r="AS215" s="190">
        <f t="shared" si="177"/>
        <v>0</v>
      </c>
      <c r="AT215" s="190">
        <f t="shared" si="177"/>
        <v>0</v>
      </c>
      <c r="AU215" s="190">
        <f t="shared" si="177"/>
        <v>0</v>
      </c>
      <c r="AV215" s="190">
        <f t="shared" si="177"/>
        <v>0</v>
      </c>
    </row>
    <row r="216" spans="1:48">
      <c r="A216" s="4" t="s">
        <v>17</v>
      </c>
      <c r="B216" s="96" t="str">
        <f t="shared" si="173"/>
        <v>CNO</v>
      </c>
      <c r="C216" s="96" t="str">
        <f t="shared" si="173"/>
        <v>Commercial - Other</v>
      </c>
      <c r="E216" s="123"/>
      <c r="F216" s="123"/>
      <c r="I216" s="181"/>
      <c r="J216" s="190">
        <f t="shared" si="174"/>
        <v>0</v>
      </c>
      <c r="K216" s="190">
        <f t="shared" si="174"/>
        <v>0</v>
      </c>
      <c r="L216" s="190">
        <f t="shared" si="174"/>
        <v>0</v>
      </c>
      <c r="M216" s="190">
        <f t="shared" si="174"/>
        <v>0</v>
      </c>
      <c r="N216" s="190">
        <f t="shared" si="174"/>
        <v>0</v>
      </c>
      <c r="O216" s="190">
        <f t="shared" si="174"/>
        <v>0</v>
      </c>
      <c r="P216" s="190">
        <f t="shared" si="174"/>
        <v>0</v>
      </c>
      <c r="Q216" s="190">
        <f t="shared" si="174"/>
        <v>0</v>
      </c>
      <c r="R216" s="190">
        <f t="shared" si="174"/>
        <v>0</v>
      </c>
      <c r="S216" s="190">
        <f t="shared" si="174"/>
        <v>0</v>
      </c>
      <c r="T216" s="190">
        <f t="shared" si="175"/>
        <v>0</v>
      </c>
      <c r="U216" s="190">
        <f t="shared" si="175"/>
        <v>0</v>
      </c>
      <c r="V216" s="190">
        <f t="shared" si="175"/>
        <v>0</v>
      </c>
      <c r="W216" s="190">
        <f t="shared" si="175"/>
        <v>0</v>
      </c>
      <c r="X216" s="190">
        <f t="shared" si="175"/>
        <v>0</v>
      </c>
      <c r="Y216" s="190">
        <f t="shared" si="175"/>
        <v>0</v>
      </c>
      <c r="Z216" s="190">
        <f t="shared" si="175"/>
        <v>0</v>
      </c>
      <c r="AA216" s="190">
        <f t="shared" si="175"/>
        <v>0</v>
      </c>
      <c r="AB216" s="190">
        <f t="shared" si="175"/>
        <v>0</v>
      </c>
      <c r="AC216" s="190">
        <f t="shared" si="175"/>
        <v>0</v>
      </c>
      <c r="AD216" s="190">
        <f t="shared" si="176"/>
        <v>0</v>
      </c>
      <c r="AE216" s="190">
        <f t="shared" si="176"/>
        <v>0</v>
      </c>
      <c r="AF216" s="190">
        <f t="shared" si="176"/>
        <v>0</v>
      </c>
      <c r="AG216" s="190">
        <f t="shared" si="176"/>
        <v>0</v>
      </c>
      <c r="AH216" s="190">
        <f t="shared" si="176"/>
        <v>0</v>
      </c>
      <c r="AI216" s="190">
        <f t="shared" si="176"/>
        <v>0</v>
      </c>
      <c r="AJ216" s="190">
        <f t="shared" si="176"/>
        <v>0</v>
      </c>
      <c r="AK216" s="190">
        <f t="shared" si="176"/>
        <v>0</v>
      </c>
      <c r="AL216" s="190">
        <f t="shared" si="176"/>
        <v>0</v>
      </c>
      <c r="AM216" s="190">
        <f t="shared" si="176"/>
        <v>0.27287842046223632</v>
      </c>
      <c r="AN216" s="190">
        <f t="shared" si="177"/>
        <v>0.54420140000202333</v>
      </c>
      <c r="AO216" s="190">
        <f t="shared" si="177"/>
        <v>0.81887593226498845</v>
      </c>
      <c r="AP216" s="190">
        <f t="shared" si="177"/>
        <v>1.0919829087317838</v>
      </c>
      <c r="AQ216" s="190">
        <f t="shared" si="177"/>
        <v>1.3635695316601375</v>
      </c>
      <c r="AR216" s="190">
        <f t="shared" si="177"/>
        <v>1.6336807132601845</v>
      </c>
      <c r="AS216" s="190">
        <f t="shared" si="177"/>
        <v>1.9023592273731371</v>
      </c>
      <c r="AT216" s="190">
        <f t="shared" si="177"/>
        <v>2.170831798534643</v>
      </c>
      <c r="AU216" s="190">
        <f t="shared" si="177"/>
        <v>2.4379277813664513</v>
      </c>
      <c r="AV216" s="190">
        <f t="shared" si="177"/>
        <v>2.7036852918135041</v>
      </c>
    </row>
    <row r="217" spans="1:48">
      <c r="A217" s="4" t="s">
        <v>17</v>
      </c>
      <c r="E217" s="123"/>
      <c r="F217" s="123"/>
      <c r="I217" s="181"/>
      <c r="J217" s="190"/>
      <c r="K217" s="190"/>
      <c r="L217" s="190"/>
      <c r="M217" s="190"/>
      <c r="N217" s="190"/>
      <c r="O217" s="190"/>
      <c r="P217" s="190"/>
      <c r="Q217" s="190"/>
      <c r="R217" s="190"/>
      <c r="S217" s="190"/>
      <c r="T217" s="190"/>
      <c r="U217" s="190"/>
      <c r="V217" s="190"/>
      <c r="W217" s="190"/>
      <c r="X217" s="190"/>
      <c r="Y217" s="190"/>
      <c r="Z217" s="190"/>
      <c r="AA217" s="190"/>
      <c r="AB217" s="190"/>
      <c r="AC217" s="190"/>
      <c r="AD217" s="190"/>
      <c r="AE217" s="190"/>
      <c r="AF217" s="190"/>
      <c r="AG217" s="190"/>
      <c r="AH217" s="190"/>
      <c r="AI217" s="190"/>
      <c r="AJ217" s="190"/>
      <c r="AK217" s="190"/>
      <c r="AL217" s="190"/>
      <c r="AM217" s="190"/>
      <c r="AN217" s="190"/>
      <c r="AO217" s="190"/>
      <c r="AP217" s="190"/>
      <c r="AQ217" s="190"/>
      <c r="AR217" s="190"/>
      <c r="AS217" s="190"/>
      <c r="AT217" s="190"/>
      <c r="AU217" s="190"/>
      <c r="AV217" s="190"/>
    </row>
    <row r="218" spans="1:48" ht="15" thickBot="1">
      <c r="A218" s="4" t="s">
        <v>17</v>
      </c>
      <c r="B218" s="94" t="s">
        <v>517</v>
      </c>
      <c r="C218" s="94"/>
      <c r="D218" s="94"/>
      <c r="E218" s="94"/>
      <c r="F218" s="94"/>
      <c r="G218" s="94"/>
      <c r="H218" s="94"/>
      <c r="I218" s="182"/>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row>
    <row r="219" spans="1:48">
      <c r="A219" s="4" t="s">
        <v>17</v>
      </c>
      <c r="E219" s="123"/>
      <c r="F219" s="123"/>
      <c r="I219" s="181"/>
      <c r="J219" s="190"/>
      <c r="K219" s="190"/>
      <c r="L219" s="190"/>
      <c r="M219" s="190"/>
      <c r="N219" s="190"/>
      <c r="O219" s="190"/>
      <c r="P219" s="190"/>
      <c r="Q219" s="190"/>
      <c r="R219" s="190"/>
      <c r="S219" s="190"/>
      <c r="T219" s="190"/>
      <c r="U219" s="190"/>
      <c r="V219" s="190"/>
      <c r="W219" s="190"/>
      <c r="X219" s="190"/>
      <c r="Y219" s="190"/>
      <c r="Z219" s="190"/>
      <c r="AA219" s="190"/>
      <c r="AB219" s="190"/>
      <c r="AC219" s="190"/>
      <c r="AD219" s="190"/>
      <c r="AE219" s="190"/>
      <c r="AF219" s="190"/>
      <c r="AG219" s="190"/>
      <c r="AH219" s="190"/>
      <c r="AI219" s="190"/>
      <c r="AJ219" s="190"/>
      <c r="AK219" s="190"/>
      <c r="AL219" s="190"/>
      <c r="AM219" s="190"/>
      <c r="AN219" s="190"/>
      <c r="AO219" s="190"/>
      <c r="AP219" s="190"/>
      <c r="AQ219" s="190"/>
      <c r="AR219" s="190"/>
      <c r="AS219" s="190"/>
      <c r="AT219" s="190"/>
      <c r="AU219" s="190"/>
      <c r="AV219" s="190"/>
    </row>
    <row r="220" spans="1:48">
      <c r="A220" s="4" t="s">
        <v>17</v>
      </c>
      <c r="B220" s="96" t="str">
        <f t="shared" ref="B220:C228" si="178">B208</f>
        <v>CNC</v>
      </c>
      <c r="C220" s="96" t="str">
        <f t="shared" si="178"/>
        <v>Commercial - Cooling</v>
      </c>
      <c r="E220" s="123"/>
      <c r="F220" s="123"/>
      <c r="I220" s="181"/>
      <c r="J220" s="190">
        <f t="shared" ref="J220:AV226" si="179">J186+J197+J208</f>
        <v>0</v>
      </c>
      <c r="K220" s="190">
        <f t="shared" si="179"/>
        <v>0</v>
      </c>
      <c r="L220" s="190">
        <f t="shared" si="179"/>
        <v>0</v>
      </c>
      <c r="M220" s="190">
        <f t="shared" si="179"/>
        <v>0</v>
      </c>
      <c r="N220" s="190">
        <f t="shared" si="179"/>
        <v>0</v>
      </c>
      <c r="O220" s="190">
        <f t="shared" si="179"/>
        <v>0</v>
      </c>
      <c r="P220" s="190">
        <f t="shared" si="179"/>
        <v>1.4912179058134039</v>
      </c>
      <c r="Q220" s="190">
        <f t="shared" si="179"/>
        <v>2.9788274132314947</v>
      </c>
      <c r="R220" s="190">
        <f t="shared" si="179"/>
        <v>4.4628965129105538</v>
      </c>
      <c r="S220" s="190">
        <f t="shared" si="179"/>
        <v>5.9434911166665101</v>
      </c>
      <c r="T220" s="190">
        <f t="shared" si="179"/>
        <v>7.4206751448510868</v>
      </c>
      <c r="U220" s="190">
        <f t="shared" si="179"/>
        <v>9.0801824141331462</v>
      </c>
      <c r="V220" s="190">
        <f t="shared" si="179"/>
        <v>10.733606600101652</v>
      </c>
      <c r="W220" s="190">
        <f t="shared" si="179"/>
        <v>12.381093798362846</v>
      </c>
      <c r="X220" s="190">
        <f t="shared" si="179"/>
        <v>14.022784429549574</v>
      </c>
      <c r="Y220" s="190">
        <f t="shared" si="179"/>
        <v>15.658813541388783</v>
      </c>
      <c r="Z220" s="190">
        <f t="shared" si="179"/>
        <v>17.528573446646845</v>
      </c>
      <c r="AA220" s="190">
        <f t="shared" si="179"/>
        <v>19.388413822792849</v>
      </c>
      <c r="AB220" s="190">
        <f t="shared" si="179"/>
        <v>21.238631987083792</v>
      </c>
      <c r="AC220" s="190">
        <f t="shared" si="179"/>
        <v>23.061102108505345</v>
      </c>
      <c r="AD220" s="190">
        <f t="shared" si="179"/>
        <v>24.874593219000431</v>
      </c>
      <c r="AE220" s="190">
        <f t="shared" si="179"/>
        <v>26.806633999803712</v>
      </c>
      <c r="AF220" s="190">
        <f t="shared" si="179"/>
        <v>28.72749992134522</v>
      </c>
      <c r="AG220" s="190">
        <f t="shared" si="179"/>
        <v>30.637540317266172</v>
      </c>
      <c r="AH220" s="190">
        <f t="shared" si="179"/>
        <v>32.537086939280002</v>
      </c>
      <c r="AI220" s="190">
        <f t="shared" si="179"/>
        <v>34.426455164398206</v>
      </c>
      <c r="AJ220" s="190">
        <f t="shared" si="179"/>
        <v>36.432609866055316</v>
      </c>
      <c r="AK220" s="190">
        <f t="shared" si="179"/>
        <v>38.426402517333557</v>
      </c>
      <c r="AL220" s="190">
        <f t="shared" si="179"/>
        <v>40.408230318291643</v>
      </c>
      <c r="AM220" s="190">
        <f t="shared" si="179"/>
        <v>42.339065140595125</v>
      </c>
      <c r="AN220" s="190">
        <f t="shared" si="179"/>
        <v>44.258893964358982</v>
      </c>
      <c r="AO220" s="190">
        <f t="shared" si="179"/>
        <v>46.202437725697372</v>
      </c>
      <c r="AP220" s="190">
        <f t="shared" si="179"/>
        <v>48.134889765997428</v>
      </c>
      <c r="AQ220" s="190">
        <f t="shared" si="179"/>
        <v>50.056584079287553</v>
      </c>
      <c r="AR220" s="190">
        <f t="shared" si="179"/>
        <v>51.967838455663149</v>
      </c>
      <c r="AS220" s="190">
        <f t="shared" si="179"/>
        <v>53.868955554535532</v>
      </c>
      <c r="AT220" s="190">
        <f t="shared" si="179"/>
        <v>55.768615440993003</v>
      </c>
      <c r="AU220" s="190">
        <f t="shared" si="179"/>
        <v>57.658534855197459</v>
      </c>
      <c r="AV220" s="190">
        <f t="shared" si="179"/>
        <v>59.538983498188863</v>
      </c>
    </row>
    <row r="221" spans="1:48">
      <c r="A221" s="4" t="s">
        <v>17</v>
      </c>
      <c r="B221" s="96" t="str">
        <f t="shared" si="178"/>
        <v>CNH</v>
      </c>
      <c r="C221" s="96" t="str">
        <f t="shared" si="178"/>
        <v>Commercial - Space Heating</v>
      </c>
      <c r="E221" s="123"/>
      <c r="F221" s="123"/>
      <c r="I221" s="181"/>
      <c r="J221" s="190">
        <f t="shared" si="179"/>
        <v>0</v>
      </c>
      <c r="K221" s="190">
        <f t="shared" si="179"/>
        <v>0</v>
      </c>
      <c r="L221" s="190">
        <f t="shared" si="179"/>
        <v>0</v>
      </c>
      <c r="M221" s="190">
        <f t="shared" si="179"/>
        <v>0</v>
      </c>
      <c r="N221" s="190">
        <f t="shared" si="179"/>
        <v>0</v>
      </c>
      <c r="O221" s="190">
        <f t="shared" si="179"/>
        <v>0</v>
      </c>
      <c r="P221" s="190">
        <f t="shared" si="179"/>
        <v>0.14221199111343469</v>
      </c>
      <c r="Q221" s="190">
        <f t="shared" si="179"/>
        <v>0.28407986248519546</v>
      </c>
      <c r="R221" s="190">
        <f t="shared" si="179"/>
        <v>0.42561009813520273</v>
      </c>
      <c r="S221" s="190">
        <f t="shared" si="179"/>
        <v>0.56680898383198464</v>
      </c>
      <c r="T221" s="190">
        <f t="shared" si="179"/>
        <v>0.70768261542542077</v>
      </c>
      <c r="U221" s="190">
        <f t="shared" si="179"/>
        <v>0.86594374688835762</v>
      </c>
      <c r="V221" s="190">
        <f t="shared" si="179"/>
        <v>1.0236247569708061</v>
      </c>
      <c r="W221" s="190">
        <f t="shared" si="179"/>
        <v>1.1807395782757586</v>
      </c>
      <c r="X221" s="190">
        <f t="shared" si="179"/>
        <v>1.3373016022047752</v>
      </c>
      <c r="Y221" s="190">
        <f t="shared" si="179"/>
        <v>1.4933237077650547</v>
      </c>
      <c r="Z221" s="190">
        <f t="shared" si="179"/>
        <v>1.6716358632147816</v>
      </c>
      <c r="AA221" s="190">
        <f t="shared" si="179"/>
        <v>1.8490020294965714</v>
      </c>
      <c r="AB221" s="190">
        <f t="shared" si="179"/>
        <v>2.0254505606685034</v>
      </c>
      <c r="AC221" s="190">
        <f t="shared" si="179"/>
        <v>2.1992528626001788</v>
      </c>
      <c r="AD221" s="190">
        <f t="shared" si="179"/>
        <v>2.3721988691392735</v>
      </c>
      <c r="AE221" s="190">
        <f t="shared" si="179"/>
        <v>2.5564505236287083</v>
      </c>
      <c r="AF221" s="190">
        <f t="shared" si="179"/>
        <v>2.7396364727106142</v>
      </c>
      <c r="AG221" s="190">
        <f t="shared" si="179"/>
        <v>2.921790031055159</v>
      </c>
      <c r="AH221" s="190">
        <f t="shared" si="179"/>
        <v>3.1029428366084391</v>
      </c>
      <c r="AI221" s="190">
        <f t="shared" si="179"/>
        <v>3.2831249657211896</v>
      </c>
      <c r="AJ221" s="190">
        <f t="shared" si="179"/>
        <v>3.4744445934509924</v>
      </c>
      <c r="AK221" s="190">
        <f t="shared" si="179"/>
        <v>3.6645852977037028</v>
      </c>
      <c r="AL221" s="190">
        <f t="shared" si="179"/>
        <v>3.853584957994447</v>
      </c>
      <c r="AM221" s="190">
        <f t="shared" si="179"/>
        <v>4.0377216046377526</v>
      </c>
      <c r="AN221" s="190">
        <f t="shared" si="179"/>
        <v>4.2208086495022643</v>
      </c>
      <c r="AO221" s="190">
        <f t="shared" si="179"/>
        <v>4.406157301123546</v>
      </c>
      <c r="AP221" s="190">
        <f t="shared" si="179"/>
        <v>4.590448175925232</v>
      </c>
      <c r="AQ221" s="190">
        <f t="shared" si="179"/>
        <v>4.773713125694786</v>
      </c>
      <c r="AR221" s="190">
        <f t="shared" si="179"/>
        <v>4.9559824569099185</v>
      </c>
      <c r="AS221" s="190">
        <f t="shared" si="179"/>
        <v>5.1372850330904036</v>
      </c>
      <c r="AT221" s="190">
        <f t="shared" si="179"/>
        <v>5.3184486402589206</v>
      </c>
      <c r="AU221" s="190">
        <f t="shared" si="179"/>
        <v>5.4986833342564747</v>
      </c>
      <c r="AV221" s="190">
        <f t="shared" si="179"/>
        <v>5.6780148354836513</v>
      </c>
    </row>
    <row r="222" spans="1:48">
      <c r="A222" s="4" t="s">
        <v>17</v>
      </c>
      <c r="B222" s="96" t="str">
        <f t="shared" si="178"/>
        <v>CNK</v>
      </c>
      <c r="C222" s="96" t="str">
        <f t="shared" si="178"/>
        <v>Commercial - Cooking</v>
      </c>
      <c r="E222" s="123"/>
      <c r="F222" s="123"/>
      <c r="I222" s="181"/>
      <c r="J222" s="190">
        <f t="shared" si="179"/>
        <v>0</v>
      </c>
      <c r="K222" s="190">
        <f t="shared" si="179"/>
        <v>0</v>
      </c>
      <c r="L222" s="190">
        <f t="shared" si="179"/>
        <v>0</v>
      </c>
      <c r="M222" s="190">
        <f t="shared" si="179"/>
        <v>0</v>
      </c>
      <c r="N222" s="190">
        <f t="shared" si="179"/>
        <v>0</v>
      </c>
      <c r="O222" s="190">
        <f t="shared" si="179"/>
        <v>0</v>
      </c>
      <c r="P222" s="190">
        <f t="shared" si="179"/>
        <v>0.1063672851732594</v>
      </c>
      <c r="Q222" s="190">
        <f t="shared" si="179"/>
        <v>0.21247718640575686</v>
      </c>
      <c r="R222" s="190">
        <f t="shared" si="179"/>
        <v>0.31833455341227768</v>
      </c>
      <c r="S222" s="190">
        <f t="shared" si="179"/>
        <v>0.42394408762572017</v>
      </c>
      <c r="T222" s="190">
        <f t="shared" si="179"/>
        <v>0.52931034842956137</v>
      </c>
      <c r="U222" s="190">
        <f t="shared" si="179"/>
        <v>0.64768156853809289</v>
      </c>
      <c r="V222" s="190">
        <f t="shared" si="179"/>
        <v>0.76561888756816809</v>
      </c>
      <c r="W222" s="190">
        <f t="shared" si="179"/>
        <v>0.88313272639318985</v>
      </c>
      <c r="X222" s="190">
        <f t="shared" si="179"/>
        <v>1.0002331010956094</v>
      </c>
      <c r="Y222" s="190">
        <f t="shared" si="179"/>
        <v>1.1169296445131416</v>
      </c>
      <c r="Z222" s="190">
        <f t="shared" si="179"/>
        <v>1.250298003538866</v>
      </c>
      <c r="AA222" s="190">
        <f t="shared" si="179"/>
        <v>1.3829588111210798</v>
      </c>
      <c r="AB222" s="190">
        <f t="shared" si="179"/>
        <v>1.5149332746429156</v>
      </c>
      <c r="AC222" s="190">
        <f t="shared" si="179"/>
        <v>1.6449284942344162</v>
      </c>
      <c r="AD222" s="190">
        <f t="shared" si="179"/>
        <v>1.7742832487322062</v>
      </c>
      <c r="AE222" s="190">
        <f t="shared" si="179"/>
        <v>1.9120940488150913</v>
      </c>
      <c r="AF222" s="190">
        <f t="shared" si="179"/>
        <v>2.0491077558391857</v>
      </c>
      <c r="AG222" s="190">
        <f t="shared" si="179"/>
        <v>2.1853492874713787</v>
      </c>
      <c r="AH222" s="190">
        <f t="shared" si="179"/>
        <v>2.3208423072748365</v>
      </c>
      <c r="AI222" s="190">
        <f t="shared" si="179"/>
        <v>2.4556093108193808</v>
      </c>
      <c r="AJ222" s="190">
        <f t="shared" si="179"/>
        <v>2.5987065928604256</v>
      </c>
      <c r="AK222" s="190">
        <f t="shared" si="179"/>
        <v>2.7409221005257414</v>
      </c>
      <c r="AL222" s="190">
        <f t="shared" si="179"/>
        <v>2.8822841657524307</v>
      </c>
      <c r="AM222" s="190">
        <f t="shared" si="179"/>
        <v>3.0200089458571786</v>
      </c>
      <c r="AN222" s="190">
        <f t="shared" si="179"/>
        <v>3.156948677592593</v>
      </c>
      <c r="AO222" s="190">
        <f t="shared" si="179"/>
        <v>3.2955799753412789</v>
      </c>
      <c r="AP222" s="190">
        <f t="shared" si="179"/>
        <v>3.4334201102088411</v>
      </c>
      <c r="AQ222" s="190">
        <f t="shared" si="179"/>
        <v>3.5704929057008354</v>
      </c>
      <c r="AR222" s="190">
        <f t="shared" si="179"/>
        <v>3.7068210295102753</v>
      </c>
      <c r="AS222" s="190">
        <f t="shared" si="179"/>
        <v>3.8424260700715456</v>
      </c>
      <c r="AT222" s="190">
        <f t="shared" si="179"/>
        <v>3.9779271689299351</v>
      </c>
      <c r="AU222" s="190">
        <f t="shared" si="179"/>
        <v>4.112733488315909</v>
      </c>
      <c r="AV222" s="190">
        <f t="shared" si="179"/>
        <v>4.2468642657716913</v>
      </c>
    </row>
    <row r="223" spans="1:48">
      <c r="A223" s="4" t="s">
        <v>17</v>
      </c>
      <c r="B223" s="96" t="str">
        <f t="shared" si="178"/>
        <v>CNL</v>
      </c>
      <c r="C223" s="96" t="str">
        <f t="shared" si="178"/>
        <v>Commercial - Lighting</v>
      </c>
      <c r="E223" s="123"/>
      <c r="F223" s="123"/>
      <c r="I223" s="181"/>
      <c r="J223" s="190">
        <f t="shared" si="179"/>
        <v>0</v>
      </c>
      <c r="K223" s="190">
        <f t="shared" si="179"/>
        <v>0</v>
      </c>
      <c r="L223" s="190">
        <f t="shared" si="179"/>
        <v>0</v>
      </c>
      <c r="M223" s="190">
        <f t="shared" si="179"/>
        <v>0</v>
      </c>
      <c r="N223" s="190">
        <f t="shared" si="179"/>
        <v>0</v>
      </c>
      <c r="O223" s="190">
        <f t="shared" si="179"/>
        <v>0</v>
      </c>
      <c r="P223" s="190">
        <f t="shared" si="179"/>
        <v>1.2977039035729891</v>
      </c>
      <c r="Q223" s="190">
        <f t="shared" si="179"/>
        <v>2.5922676673548795</v>
      </c>
      <c r="R223" s="190">
        <f t="shared" si="179"/>
        <v>3.883750458915828</v>
      </c>
      <c r="S223" s="190">
        <f t="shared" si="179"/>
        <v>5.1722096367548778</v>
      </c>
      <c r="T223" s="190">
        <f t="shared" si="179"/>
        <v>6.4577008263373781</v>
      </c>
      <c r="U223" s="190">
        <f t="shared" si="179"/>
        <v>7.9018553345146394</v>
      </c>
      <c r="V223" s="190">
        <f t="shared" si="179"/>
        <v>9.3407161556117035</v>
      </c>
      <c r="W223" s="190">
        <f t="shared" si="179"/>
        <v>10.774410426539808</v>
      </c>
      <c r="X223" s="190">
        <f t="shared" si="179"/>
        <v>12.203060345672958</v>
      </c>
      <c r="Y223" s="190">
        <f t="shared" si="179"/>
        <v>13.626783435716412</v>
      </c>
      <c r="Z223" s="190">
        <f t="shared" si="179"/>
        <v>15.253906284991844</v>
      </c>
      <c r="AA223" s="190">
        <f t="shared" si="179"/>
        <v>16.872396853498557</v>
      </c>
      <c r="AB223" s="190">
        <f t="shared" si="179"/>
        <v>18.482513875901351</v>
      </c>
      <c r="AC223" s="190">
        <f t="shared" si="179"/>
        <v>20.068483693923255</v>
      </c>
      <c r="AD223" s="190">
        <f t="shared" si="179"/>
        <v>21.646639699165632</v>
      </c>
      <c r="AE223" s="190">
        <f t="shared" si="179"/>
        <v>23.327961290957433</v>
      </c>
      <c r="AF223" s="190">
        <f t="shared" si="179"/>
        <v>24.999558174891749</v>
      </c>
      <c r="AG223" s="190">
        <f t="shared" si="179"/>
        <v>26.661734351898353</v>
      </c>
      <c r="AH223" s="190">
        <f t="shared" si="179"/>
        <v>28.31477852257014</v>
      </c>
      <c r="AI223" s="190">
        <f t="shared" si="179"/>
        <v>29.958965137728356</v>
      </c>
      <c r="AJ223" s="190">
        <f t="shared" si="179"/>
        <v>31.70478295373136</v>
      </c>
      <c r="AK223" s="190">
        <f t="shared" si="179"/>
        <v>33.439842931479959</v>
      </c>
      <c r="AL223" s="190">
        <f t="shared" si="179"/>
        <v>35.164490726739594</v>
      </c>
      <c r="AM223" s="190">
        <f t="shared" si="179"/>
        <v>36.844762856178079</v>
      </c>
      <c r="AN223" s="190">
        <f t="shared" si="179"/>
        <v>38.51545722557767</v>
      </c>
      <c r="AO223" s="190">
        <f t="shared" si="179"/>
        <v>40.206789066498679</v>
      </c>
      <c r="AP223" s="190">
        <f t="shared" si="179"/>
        <v>41.888468549013403</v>
      </c>
      <c r="AQ223" s="190">
        <f t="shared" si="179"/>
        <v>43.5607863250465</v>
      </c>
      <c r="AR223" s="190">
        <f t="shared" si="179"/>
        <v>45.224018945359418</v>
      </c>
      <c r="AS223" s="190">
        <f t="shared" si="179"/>
        <v>46.878429793524731</v>
      </c>
      <c r="AT223" s="190">
        <f t="shared" si="179"/>
        <v>48.531572530415488</v>
      </c>
      <c r="AU223" s="190">
        <f t="shared" si="179"/>
        <v>50.17623880734952</v>
      </c>
      <c r="AV223" s="190">
        <f t="shared" si="179"/>
        <v>51.812663326506168</v>
      </c>
    </row>
    <row r="224" spans="1:48">
      <c r="A224" s="4" t="s">
        <v>17</v>
      </c>
      <c r="B224" s="96" t="str">
        <f t="shared" si="178"/>
        <v>CNR</v>
      </c>
      <c r="C224" s="96" t="str">
        <f t="shared" si="178"/>
        <v>Commercial - Refrigeration</v>
      </c>
      <c r="E224" s="123"/>
      <c r="F224" s="123"/>
      <c r="I224" s="181"/>
      <c r="J224" s="190">
        <f t="shared" si="179"/>
        <v>0</v>
      </c>
      <c r="K224" s="190">
        <f t="shared" si="179"/>
        <v>0</v>
      </c>
      <c r="L224" s="190">
        <f t="shared" si="179"/>
        <v>0</v>
      </c>
      <c r="M224" s="190">
        <f t="shared" si="179"/>
        <v>0</v>
      </c>
      <c r="N224" s="190">
        <f t="shared" si="179"/>
        <v>0</v>
      </c>
      <c r="O224" s="190">
        <f t="shared" si="179"/>
        <v>0</v>
      </c>
      <c r="P224" s="190">
        <f t="shared" si="179"/>
        <v>0.31568483105210576</v>
      </c>
      <c r="Q224" s="190">
        <f t="shared" si="179"/>
        <v>0.63060577868157275</v>
      </c>
      <c r="R224" s="190">
        <f t="shared" si="179"/>
        <v>0.94477723623678911</v>
      </c>
      <c r="S224" s="190">
        <f t="shared" si="179"/>
        <v>1.2582131569840045</v>
      </c>
      <c r="T224" s="190">
        <f t="shared" si="179"/>
        <v>1.5709270726045084</v>
      </c>
      <c r="U224" s="190">
        <f t="shared" si="179"/>
        <v>1.9222380848252816</v>
      </c>
      <c r="V224" s="190">
        <f t="shared" si="179"/>
        <v>2.2722613327826098</v>
      </c>
      <c r="W224" s="190">
        <f t="shared" si="179"/>
        <v>2.6210277443285501</v>
      </c>
      <c r="X224" s="190">
        <f t="shared" si="179"/>
        <v>2.9685670459461213</v>
      </c>
      <c r="Y224" s="190">
        <f t="shared" si="179"/>
        <v>3.314907826695781</v>
      </c>
      <c r="Z224" s="190">
        <f t="shared" si="179"/>
        <v>3.7107284760444292</v>
      </c>
      <c r="AA224" s="190">
        <f t="shared" si="179"/>
        <v>4.1044492009892393</v>
      </c>
      <c r="AB224" s="190">
        <f t="shared" si="179"/>
        <v>4.4961329423973249</v>
      </c>
      <c r="AC224" s="190">
        <f t="shared" si="179"/>
        <v>4.8819425347685046</v>
      </c>
      <c r="AD224" s="190">
        <f t="shared" si="179"/>
        <v>5.2658513066517552</v>
      </c>
      <c r="AE224" s="190">
        <f t="shared" si="179"/>
        <v>5.6748565667790309</v>
      </c>
      <c r="AF224" s="190">
        <f t="shared" si="179"/>
        <v>6.0814961541603374</v>
      </c>
      <c r="AG224" s="190">
        <f t="shared" si="179"/>
        <v>6.4858440213220483</v>
      </c>
      <c r="AH224" s="190">
        <f t="shared" si="179"/>
        <v>6.8879703987671634</v>
      </c>
      <c r="AI224" s="190">
        <f t="shared" si="179"/>
        <v>7.2879420505401606</v>
      </c>
      <c r="AJ224" s="190">
        <f t="shared" si="179"/>
        <v>7.7126369295300714</v>
      </c>
      <c r="AK224" s="190">
        <f t="shared" si="179"/>
        <v>8.1347148121909445</v>
      </c>
      <c r="AL224" s="190">
        <f t="shared" si="179"/>
        <v>8.5542597841771535</v>
      </c>
      <c r="AM224" s="190">
        <f t="shared" si="179"/>
        <v>8.9630097477419461</v>
      </c>
      <c r="AN224" s="190">
        <f t="shared" si="179"/>
        <v>9.3694297856962745</v>
      </c>
      <c r="AO224" s="190">
        <f t="shared" si="179"/>
        <v>9.7808701805229568</v>
      </c>
      <c r="AP224" s="190">
        <f t="shared" si="179"/>
        <v>10.189962502631081</v>
      </c>
      <c r="AQ224" s="190">
        <f t="shared" si="179"/>
        <v>10.596777457212706</v>
      </c>
      <c r="AR224" s="190">
        <f t="shared" si="179"/>
        <v>11.001382319152464</v>
      </c>
      <c r="AS224" s="190">
        <f t="shared" si="179"/>
        <v>11.403841160230044</v>
      </c>
      <c r="AT224" s="190">
        <f t="shared" si="179"/>
        <v>11.80599151530218</v>
      </c>
      <c r="AU224" s="190">
        <f t="shared" si="179"/>
        <v>12.206079851587141</v>
      </c>
      <c r="AV224" s="190">
        <f t="shared" si="179"/>
        <v>12.604163263709999</v>
      </c>
    </row>
    <row r="225" spans="1:48">
      <c r="A225" s="4" t="s">
        <v>17</v>
      </c>
      <c r="B225" s="96" t="str">
        <f t="shared" si="178"/>
        <v>CNW</v>
      </c>
      <c r="C225" s="96" t="str">
        <f t="shared" si="178"/>
        <v>Commercial - Water Heating</v>
      </c>
      <c r="E225" s="123"/>
      <c r="F225" s="123"/>
      <c r="I225" s="181"/>
      <c r="J225" s="190">
        <f t="shared" si="179"/>
        <v>0</v>
      </c>
      <c r="K225" s="190">
        <f t="shared" si="179"/>
        <v>0</v>
      </c>
      <c r="L225" s="190">
        <f t="shared" si="179"/>
        <v>0</v>
      </c>
      <c r="M225" s="190">
        <f t="shared" si="179"/>
        <v>0</v>
      </c>
      <c r="N225" s="190">
        <f t="shared" si="179"/>
        <v>0</v>
      </c>
      <c r="O225" s="190">
        <f t="shared" si="179"/>
        <v>0</v>
      </c>
      <c r="P225" s="190">
        <f t="shared" si="179"/>
        <v>0.16456327387310041</v>
      </c>
      <c r="Q225" s="190">
        <f t="shared" si="179"/>
        <v>0.32872834313032523</v>
      </c>
      <c r="R225" s="190">
        <f t="shared" si="179"/>
        <v>0.49250271087698655</v>
      </c>
      <c r="S225" s="190">
        <f t="shared" si="179"/>
        <v>0.65589365080807804</v>
      </c>
      <c r="T225" s="190">
        <f t="shared" si="179"/>
        <v>0.81890821685066562</v>
      </c>
      <c r="U225" s="190">
        <f t="shared" si="179"/>
        <v>1.002043054612892</v>
      </c>
      <c r="V225" s="190">
        <f t="shared" si="179"/>
        <v>1.1845065940347357</v>
      </c>
      <c r="W225" s="190">
        <f t="shared" si="179"/>
        <v>1.36631495748917</v>
      </c>
      <c r="X225" s="190">
        <f t="shared" si="179"/>
        <v>1.5474836410877764</v>
      </c>
      <c r="Y225" s="190">
        <f t="shared" si="179"/>
        <v>1.7280275480153864</v>
      </c>
      <c r="Z225" s="190">
        <f t="shared" si="179"/>
        <v>1.9343648044058861</v>
      </c>
      <c r="AA225" s="190">
        <f t="shared" si="179"/>
        <v>2.139607391680896</v>
      </c>
      <c r="AB225" s="190">
        <f t="shared" si="179"/>
        <v>2.343788120270736</v>
      </c>
      <c r="AC225" s="190">
        <f t="shared" si="179"/>
        <v>2.5449067150434073</v>
      </c>
      <c r="AD225" s="190">
        <f t="shared" si="179"/>
        <v>2.7450344315356867</v>
      </c>
      <c r="AE225" s="190">
        <f t="shared" si="179"/>
        <v>2.9582446906841664</v>
      </c>
      <c r="AF225" s="190">
        <f t="shared" si="179"/>
        <v>3.1702217488242495</v>
      </c>
      <c r="AG225" s="190">
        <f t="shared" si="179"/>
        <v>3.3810041566516116</v>
      </c>
      <c r="AH225" s="190">
        <f t="shared" si="179"/>
        <v>3.5906285246092073</v>
      </c>
      <c r="AI225" s="190">
        <f t="shared" si="179"/>
        <v>3.7991296561106189</v>
      </c>
      <c r="AJ225" s="190">
        <f t="shared" si="179"/>
        <v>4.0205187531121922</v>
      </c>
      <c r="AK225" s="190">
        <f t="shared" si="179"/>
        <v>4.2405436366918376</v>
      </c>
      <c r="AL225" s="190">
        <f t="shared" si="179"/>
        <v>4.4592481398412245</v>
      </c>
      <c r="AM225" s="190">
        <f t="shared" si="179"/>
        <v>4.6723253155026372</v>
      </c>
      <c r="AN225" s="190">
        <f t="shared" si="179"/>
        <v>4.8841879247718003</v>
      </c>
      <c r="AO225" s="190">
        <f t="shared" si="179"/>
        <v>5.0986675947346054</v>
      </c>
      <c r="AP225" s="190">
        <f t="shared" si="179"/>
        <v>5.311923238403307</v>
      </c>
      <c r="AQ225" s="190">
        <f t="shared" si="179"/>
        <v>5.5239917136714096</v>
      </c>
      <c r="AR225" s="190">
        <f t="shared" si="179"/>
        <v>5.7349080902482443</v>
      </c>
      <c r="AS225" s="190">
        <f t="shared" si="179"/>
        <v>5.9447057680972915</v>
      </c>
      <c r="AT225" s="190">
        <f t="shared" si="179"/>
        <v>6.1543426353466311</v>
      </c>
      <c r="AU225" s="190">
        <f t="shared" si="179"/>
        <v>6.3629045932907804</v>
      </c>
      <c r="AV225" s="190">
        <f t="shared" si="179"/>
        <v>6.5704214047738745</v>
      </c>
    </row>
    <row r="226" spans="1:48">
      <c r="A226" s="4" t="s">
        <v>17</v>
      </c>
      <c r="B226" s="96" t="str">
        <f t="shared" si="178"/>
        <v>CNG</v>
      </c>
      <c r="C226" s="96" t="str">
        <f t="shared" si="178"/>
        <v>Commercial - Public lights</v>
      </c>
      <c r="E226" s="123"/>
      <c r="F226" s="123"/>
      <c r="I226" s="181"/>
      <c r="J226" s="190">
        <f t="shared" si="179"/>
        <v>0</v>
      </c>
      <c r="K226" s="190">
        <f t="shared" si="179"/>
        <v>0</v>
      </c>
      <c r="L226" s="190">
        <f t="shared" si="179"/>
        <v>0</v>
      </c>
      <c r="M226" s="190">
        <f t="shared" si="179"/>
        <v>0</v>
      </c>
      <c r="N226" s="190">
        <f t="shared" si="179"/>
        <v>0</v>
      </c>
      <c r="O226" s="190">
        <f t="shared" si="179"/>
        <v>0</v>
      </c>
      <c r="P226" s="190">
        <f t="shared" si="179"/>
        <v>0</v>
      </c>
      <c r="Q226" s="190">
        <f t="shared" si="179"/>
        <v>0</v>
      </c>
      <c r="R226" s="190">
        <f t="shared" si="179"/>
        <v>0</v>
      </c>
      <c r="S226" s="190">
        <f t="shared" si="179"/>
        <v>0</v>
      </c>
      <c r="T226" s="190">
        <f t="shared" si="179"/>
        <v>0</v>
      </c>
      <c r="U226" s="190">
        <f t="shared" si="179"/>
        <v>0</v>
      </c>
      <c r="V226" s="190">
        <f t="shared" si="179"/>
        <v>0</v>
      </c>
      <c r="W226" s="190">
        <f t="shared" si="179"/>
        <v>0</v>
      </c>
      <c r="X226" s="190">
        <f t="shared" si="179"/>
        <v>0</v>
      </c>
      <c r="Y226" s="190">
        <f t="shared" si="179"/>
        <v>0</v>
      </c>
      <c r="Z226" s="190">
        <f t="shared" si="179"/>
        <v>0</v>
      </c>
      <c r="AA226" s="190">
        <f t="shared" si="179"/>
        <v>0</v>
      </c>
      <c r="AB226" s="190">
        <f t="shared" si="179"/>
        <v>0</v>
      </c>
      <c r="AC226" s="190">
        <f t="shared" si="179"/>
        <v>0</v>
      </c>
      <c r="AD226" s="190">
        <f t="shared" si="179"/>
        <v>0</v>
      </c>
      <c r="AE226" s="190">
        <f t="shared" ref="AE226:AV228" si="180">AE192+AE203+AE214</f>
        <v>0</v>
      </c>
      <c r="AF226" s="190">
        <f t="shared" si="180"/>
        <v>0</v>
      </c>
      <c r="AG226" s="190">
        <f t="shared" si="180"/>
        <v>0</v>
      </c>
      <c r="AH226" s="190">
        <f t="shared" si="180"/>
        <v>0</v>
      </c>
      <c r="AI226" s="190">
        <f t="shared" si="180"/>
        <v>0</v>
      </c>
      <c r="AJ226" s="190">
        <f t="shared" si="180"/>
        <v>0</v>
      </c>
      <c r="AK226" s="190">
        <f t="shared" si="180"/>
        <v>0</v>
      </c>
      <c r="AL226" s="190">
        <f t="shared" si="180"/>
        <v>0</v>
      </c>
      <c r="AM226" s="190">
        <f t="shared" si="180"/>
        <v>0</v>
      </c>
      <c r="AN226" s="190">
        <f t="shared" si="180"/>
        <v>0</v>
      </c>
      <c r="AO226" s="190">
        <f t="shared" si="180"/>
        <v>0</v>
      </c>
      <c r="AP226" s="190">
        <f t="shared" si="180"/>
        <v>0</v>
      </c>
      <c r="AQ226" s="190">
        <f t="shared" si="180"/>
        <v>0</v>
      </c>
      <c r="AR226" s="190">
        <f t="shared" si="180"/>
        <v>0</v>
      </c>
      <c r="AS226" s="190">
        <f t="shared" si="180"/>
        <v>0</v>
      </c>
      <c r="AT226" s="190">
        <f t="shared" si="180"/>
        <v>0</v>
      </c>
      <c r="AU226" s="190">
        <f t="shared" si="180"/>
        <v>0</v>
      </c>
      <c r="AV226" s="190">
        <f t="shared" si="180"/>
        <v>0</v>
      </c>
    </row>
    <row r="227" spans="1:48">
      <c r="A227" s="4" t="s">
        <v>17</v>
      </c>
      <c r="B227" s="96" t="str">
        <f t="shared" si="178"/>
        <v>CNT</v>
      </c>
      <c r="C227" s="96" t="str">
        <f t="shared" si="178"/>
        <v>Commercial - Public Water</v>
      </c>
      <c r="E227" s="123"/>
      <c r="F227" s="123"/>
      <c r="I227" s="181"/>
      <c r="J227" s="190">
        <f t="shared" ref="J227:AV228" si="181">J193+J204+J215</f>
        <v>0</v>
      </c>
      <c r="K227" s="190">
        <f t="shared" si="181"/>
        <v>0</v>
      </c>
      <c r="L227" s="190">
        <f t="shared" si="181"/>
        <v>0</v>
      </c>
      <c r="M227" s="190">
        <f t="shared" si="181"/>
        <v>0</v>
      </c>
      <c r="N227" s="190">
        <f t="shared" si="181"/>
        <v>0</v>
      </c>
      <c r="O227" s="190">
        <f t="shared" si="181"/>
        <v>0</v>
      </c>
      <c r="P227" s="190">
        <f t="shared" si="181"/>
        <v>0</v>
      </c>
      <c r="Q227" s="190">
        <f t="shared" si="181"/>
        <v>0</v>
      </c>
      <c r="R227" s="190">
        <f t="shared" si="181"/>
        <v>0</v>
      </c>
      <c r="S227" s="190">
        <f t="shared" si="181"/>
        <v>0</v>
      </c>
      <c r="T227" s="190">
        <f t="shared" si="181"/>
        <v>0</v>
      </c>
      <c r="U227" s="190">
        <f t="shared" si="181"/>
        <v>0</v>
      </c>
      <c r="V227" s="190">
        <f t="shared" si="181"/>
        <v>0</v>
      </c>
      <c r="W227" s="190">
        <f t="shared" si="181"/>
        <v>0</v>
      </c>
      <c r="X227" s="190">
        <f t="shared" si="181"/>
        <v>0</v>
      </c>
      <c r="Y227" s="190">
        <f t="shared" si="181"/>
        <v>0</v>
      </c>
      <c r="Z227" s="190">
        <f t="shared" si="181"/>
        <v>0</v>
      </c>
      <c r="AA227" s="190">
        <f t="shared" si="181"/>
        <v>0</v>
      </c>
      <c r="AB227" s="190">
        <f t="shared" si="181"/>
        <v>0</v>
      </c>
      <c r="AC227" s="190">
        <f t="shared" si="181"/>
        <v>0</v>
      </c>
      <c r="AD227" s="190">
        <f t="shared" si="181"/>
        <v>0</v>
      </c>
      <c r="AE227" s="190">
        <f t="shared" si="181"/>
        <v>0</v>
      </c>
      <c r="AF227" s="190">
        <f t="shared" si="181"/>
        <v>0</v>
      </c>
      <c r="AG227" s="190">
        <f t="shared" si="181"/>
        <v>0</v>
      </c>
      <c r="AH227" s="190">
        <f t="shared" si="181"/>
        <v>0</v>
      </c>
      <c r="AI227" s="190">
        <f t="shared" si="180"/>
        <v>0</v>
      </c>
      <c r="AJ227" s="190">
        <f t="shared" si="180"/>
        <v>0</v>
      </c>
      <c r="AK227" s="190">
        <f t="shared" si="180"/>
        <v>0</v>
      </c>
      <c r="AL227" s="190">
        <f t="shared" si="180"/>
        <v>0</v>
      </c>
      <c r="AM227" s="190">
        <f t="shared" si="180"/>
        <v>0</v>
      </c>
      <c r="AN227" s="190">
        <f t="shared" si="180"/>
        <v>0</v>
      </c>
      <c r="AO227" s="190">
        <f t="shared" si="180"/>
        <v>0</v>
      </c>
      <c r="AP227" s="190">
        <f t="shared" si="180"/>
        <v>0</v>
      </c>
      <c r="AQ227" s="190">
        <f t="shared" si="180"/>
        <v>0</v>
      </c>
      <c r="AR227" s="190">
        <f t="shared" si="180"/>
        <v>0</v>
      </c>
      <c r="AS227" s="190">
        <f t="shared" si="181"/>
        <v>0</v>
      </c>
      <c r="AT227" s="190">
        <f t="shared" si="181"/>
        <v>0</v>
      </c>
      <c r="AU227" s="190">
        <f t="shared" si="181"/>
        <v>0</v>
      </c>
      <c r="AV227" s="190">
        <f t="shared" si="181"/>
        <v>0</v>
      </c>
    </row>
    <row r="228" spans="1:48">
      <c r="A228" s="4" t="s">
        <v>17</v>
      </c>
      <c r="B228" s="96" t="str">
        <f t="shared" si="178"/>
        <v>CNO</v>
      </c>
      <c r="C228" s="96" t="str">
        <f t="shared" si="178"/>
        <v>Commercial - Other</v>
      </c>
      <c r="E228" s="123"/>
      <c r="F228" s="123"/>
      <c r="I228" s="181"/>
      <c r="J228" s="190">
        <f t="shared" si="181"/>
        <v>0</v>
      </c>
      <c r="K228" s="190">
        <f t="shared" si="181"/>
        <v>0</v>
      </c>
      <c r="L228" s="190">
        <f t="shared" si="181"/>
        <v>0</v>
      </c>
      <c r="M228" s="190">
        <f t="shared" si="181"/>
        <v>0</v>
      </c>
      <c r="N228" s="190">
        <f t="shared" si="181"/>
        <v>0</v>
      </c>
      <c r="O228" s="190">
        <f t="shared" si="181"/>
        <v>0</v>
      </c>
      <c r="P228" s="190">
        <f t="shared" si="181"/>
        <v>0.21074883361483501</v>
      </c>
      <c r="Q228" s="190">
        <f t="shared" si="181"/>
        <v>0.42098770436638538</v>
      </c>
      <c r="R228" s="190">
        <f t="shared" si="181"/>
        <v>0.63072622114645172</v>
      </c>
      <c r="S228" s="190">
        <f t="shared" si="181"/>
        <v>0.83997369905128816</v>
      </c>
      <c r="T228" s="190">
        <f t="shared" si="181"/>
        <v>1.0487391717301804</v>
      </c>
      <c r="U228" s="190">
        <f t="shared" si="181"/>
        <v>1.283271777604279</v>
      </c>
      <c r="V228" s="190">
        <f t="shared" si="181"/>
        <v>1.5169446816815342</v>
      </c>
      <c r="W228" s="190">
        <f t="shared" si="181"/>
        <v>1.7497785311648066</v>
      </c>
      <c r="X228" s="190">
        <f t="shared" si="181"/>
        <v>1.9817931712319699</v>
      </c>
      <c r="Y228" s="190">
        <f t="shared" si="181"/>
        <v>2.2130076877260945</v>
      </c>
      <c r="Z228" s="190">
        <f t="shared" si="181"/>
        <v>2.4772545946581714</v>
      </c>
      <c r="AA228" s="190">
        <f t="shared" si="181"/>
        <v>2.740099607754193</v>
      </c>
      <c r="AB228" s="190">
        <f t="shared" si="181"/>
        <v>3.0015847458665905</v>
      </c>
      <c r="AC228" s="190">
        <f t="shared" si="181"/>
        <v>3.2591483459884492</v>
      </c>
      <c r="AD228" s="190">
        <f t="shared" si="181"/>
        <v>3.5154429725603049</v>
      </c>
      <c r="AE228" s="190">
        <f t="shared" si="181"/>
        <v>3.7884918270994326</v>
      </c>
      <c r="AF228" s="190">
        <f t="shared" si="181"/>
        <v>4.0599613761956421</v>
      </c>
      <c r="AG228" s="190">
        <f t="shared" si="181"/>
        <v>4.3299009900027787</v>
      </c>
      <c r="AH228" s="190">
        <f t="shared" si="181"/>
        <v>4.5983575538797075</v>
      </c>
      <c r="AI228" s="190">
        <f t="shared" si="180"/>
        <v>4.8653756390034903</v>
      </c>
      <c r="AJ228" s="190">
        <f t="shared" si="180"/>
        <v>5.1488987658227954</v>
      </c>
      <c r="AK228" s="190">
        <f t="shared" si="180"/>
        <v>5.4306748054536502</v>
      </c>
      <c r="AL228" s="190">
        <f t="shared" si="180"/>
        <v>5.7107598928504171</v>
      </c>
      <c r="AM228" s="190">
        <f t="shared" si="180"/>
        <v>5.9836383133126532</v>
      </c>
      <c r="AN228" s="190">
        <f t="shared" si="180"/>
        <v>6.2549612928524407</v>
      </c>
      <c r="AO228" s="190">
        <f t="shared" si="180"/>
        <v>6.5296358251154052</v>
      </c>
      <c r="AP228" s="190">
        <f t="shared" si="180"/>
        <v>6.8027428015822009</v>
      </c>
      <c r="AQ228" s="190">
        <f t="shared" si="180"/>
        <v>7.0743294245105544</v>
      </c>
      <c r="AR228" s="190">
        <f t="shared" si="180"/>
        <v>7.3444406061106013</v>
      </c>
      <c r="AS228" s="190">
        <f t="shared" si="181"/>
        <v>7.613119120223554</v>
      </c>
      <c r="AT228" s="190">
        <f t="shared" si="181"/>
        <v>7.8815916913850597</v>
      </c>
      <c r="AU228" s="190">
        <f t="shared" si="181"/>
        <v>8.1486876742168679</v>
      </c>
      <c r="AV228" s="190">
        <f t="shared" si="181"/>
        <v>8.4144451846639221</v>
      </c>
    </row>
    <row r="229" spans="1:48" ht="15" thickBot="1">
      <c r="A229" s="4" t="s">
        <v>17</v>
      </c>
      <c r="B229" s="94"/>
      <c r="C229" s="94"/>
      <c r="D229" s="94"/>
      <c r="E229" s="94"/>
      <c r="F229" s="94"/>
      <c r="G229" s="94"/>
      <c r="H229" s="94"/>
      <c r="I229" s="182"/>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row>
    <row r="230" spans="1:48">
      <c r="A230" s="4" t="s">
        <v>17</v>
      </c>
      <c r="E230" s="123"/>
      <c r="F230" s="123"/>
      <c r="I230" s="181"/>
      <c r="J230" s="188"/>
      <c r="K230" s="188"/>
      <c r="L230" s="188"/>
      <c r="M230" s="188"/>
      <c r="N230" s="188"/>
      <c r="O230" s="188"/>
      <c r="P230" s="188"/>
      <c r="Q230" s="188"/>
      <c r="R230" s="188"/>
      <c r="S230" s="188"/>
      <c r="T230" s="188"/>
      <c r="U230" s="188"/>
      <c r="V230" s="188"/>
      <c r="W230" s="188"/>
      <c r="X230" s="188"/>
      <c r="Y230" s="188"/>
      <c r="Z230" s="188"/>
      <c r="AA230" s="188"/>
      <c r="AB230" s="188"/>
      <c r="AC230" s="188"/>
      <c r="AD230" s="188"/>
      <c r="AE230" s="188"/>
      <c r="AF230" s="188"/>
      <c r="AG230" s="188"/>
      <c r="AH230" s="188"/>
      <c r="AI230" s="188"/>
      <c r="AJ230" s="188"/>
      <c r="AK230" s="188"/>
      <c r="AL230" s="188"/>
      <c r="AM230" s="188"/>
      <c r="AN230" s="188"/>
      <c r="AO230" s="188"/>
      <c r="AP230" s="188"/>
      <c r="AQ230" s="188"/>
      <c r="AR230" s="188"/>
      <c r="AS230" s="188"/>
      <c r="AT230" s="188"/>
      <c r="AU230" s="188"/>
      <c r="AV230" s="188"/>
    </row>
    <row r="231" spans="1:48" ht="15" thickBot="1">
      <c r="A231" s="4" t="s">
        <v>17</v>
      </c>
      <c r="B231" s="94" t="s">
        <v>535</v>
      </c>
      <c r="C231" s="94"/>
      <c r="E231" s="123"/>
      <c r="F231" s="123"/>
      <c r="I231" s="181"/>
      <c r="J231" s="188"/>
      <c r="K231" s="188"/>
      <c r="L231" s="188"/>
      <c r="M231" s="188"/>
      <c r="N231" s="188"/>
      <c r="O231" s="188"/>
      <c r="P231" s="188"/>
      <c r="Q231" s="188"/>
      <c r="R231" s="188"/>
      <c r="S231" s="188"/>
      <c r="T231" s="188"/>
      <c r="U231" s="188"/>
      <c r="V231" s="188"/>
      <c r="W231" s="188"/>
      <c r="X231" s="188"/>
      <c r="Y231" s="188"/>
      <c r="Z231" s="188"/>
      <c r="AA231" s="188"/>
      <c r="AB231" s="188"/>
      <c r="AC231" s="188"/>
      <c r="AD231" s="188"/>
      <c r="AE231" s="188"/>
      <c r="AF231" s="188"/>
      <c r="AG231" s="188"/>
      <c r="AH231" s="188"/>
      <c r="AI231" s="188"/>
      <c r="AJ231" s="188"/>
      <c r="AK231" s="188"/>
      <c r="AL231" s="188"/>
      <c r="AM231" s="188"/>
      <c r="AN231" s="188"/>
      <c r="AO231" s="188"/>
      <c r="AP231" s="188"/>
      <c r="AQ231" s="188"/>
      <c r="AR231" s="188"/>
      <c r="AS231" s="188"/>
      <c r="AT231" s="188"/>
      <c r="AU231" s="188"/>
      <c r="AV231" s="188"/>
    </row>
    <row r="232" spans="1:48">
      <c r="A232" s="4" t="s">
        <v>17</v>
      </c>
      <c r="E232" s="123"/>
      <c r="F232" s="123"/>
      <c r="I232" s="181"/>
      <c r="J232" s="188"/>
      <c r="K232" s="188"/>
      <c r="L232" s="188"/>
      <c r="M232" s="188"/>
      <c r="N232" s="188"/>
      <c r="O232" s="188"/>
      <c r="P232" s="188"/>
      <c r="Q232" s="188"/>
      <c r="R232" s="188"/>
      <c r="S232" s="188"/>
      <c r="T232" s="188"/>
      <c r="U232" s="188"/>
      <c r="V232" s="188"/>
      <c r="W232" s="188"/>
      <c r="X232" s="188"/>
      <c r="Y232" s="188"/>
      <c r="Z232" s="188"/>
      <c r="AA232" s="188"/>
      <c r="AB232" s="188"/>
      <c r="AC232" s="188"/>
      <c r="AD232" s="188"/>
      <c r="AE232" s="188"/>
      <c r="AF232" s="188"/>
      <c r="AG232" s="188"/>
      <c r="AH232" s="188"/>
      <c r="AI232" s="188"/>
      <c r="AJ232" s="188"/>
      <c r="AK232" s="188"/>
      <c r="AL232" s="188"/>
      <c r="AM232" s="188"/>
      <c r="AN232" s="188"/>
      <c r="AO232" s="188"/>
      <c r="AP232" s="188"/>
      <c r="AQ232" s="188"/>
      <c r="AR232" s="188"/>
      <c r="AS232" s="188"/>
      <c r="AT232" s="188"/>
      <c r="AU232" s="188"/>
      <c r="AV232" s="188"/>
    </row>
    <row r="233" spans="1:48">
      <c r="A233" s="4" t="s">
        <v>17</v>
      </c>
      <c r="B233" s="96" t="str">
        <f t="shared" ref="B233:C241" si="182">B162</f>
        <v>CEC</v>
      </c>
      <c r="C233" s="96" t="str">
        <f t="shared" si="182"/>
        <v>Commercial - Cooling</v>
      </c>
      <c r="E233" s="123"/>
      <c r="F233" s="123"/>
      <c r="I233" s="181"/>
      <c r="J233" s="188">
        <f t="shared" ref="J233:J241" si="183">J162+J174+J151</f>
        <v>139.66439435388435</v>
      </c>
      <c r="K233" s="188">
        <f t="shared" ref="K233:AV240" si="184">K162+K174+K151</f>
        <v>135.82261238822764</v>
      </c>
      <c r="L233" s="188">
        <f t="shared" si="184"/>
        <v>132.27898173779028</v>
      </c>
      <c r="M233" s="188">
        <f t="shared" si="184"/>
        <v>128.4309735004</v>
      </c>
      <c r="N233" s="188">
        <f t="shared" si="184"/>
        <v>124.42166984714328</v>
      </c>
      <c r="O233" s="188">
        <f t="shared" si="184"/>
        <v>120.28334032399778</v>
      </c>
      <c r="P233" s="188">
        <f t="shared" si="184"/>
        <v>119.45331139721114</v>
      </c>
      <c r="Q233" s="188">
        <f t="shared" si="184"/>
        <v>118.62238037082571</v>
      </c>
      <c r="R233" s="188">
        <f t="shared" si="184"/>
        <v>117.79056424250548</v>
      </c>
      <c r="S233" s="188">
        <f t="shared" si="184"/>
        <v>116.95787949020449</v>
      </c>
      <c r="T233" s="188">
        <f t="shared" si="184"/>
        <v>116.12434209401066</v>
      </c>
      <c r="U233" s="188">
        <f t="shared" si="184"/>
        <v>115.33638550809118</v>
      </c>
      <c r="V233" s="188">
        <f t="shared" si="184"/>
        <v>114.54690815134335</v>
      </c>
      <c r="W233" s="188">
        <f t="shared" si="184"/>
        <v>113.75594654766866</v>
      </c>
      <c r="X233" s="188">
        <f t="shared" si="184"/>
        <v>112.96353580222537</v>
      </c>
      <c r="Y233" s="188">
        <f t="shared" si="184"/>
        <v>112.16970967694517</v>
      </c>
      <c r="Z233" s="188">
        <f t="shared" si="184"/>
        <v>111.43431625001973</v>
      </c>
      <c r="AA233" s="188">
        <f t="shared" si="184"/>
        <v>110.69644294081627</v>
      </c>
      <c r="AB233" s="188">
        <f t="shared" si="184"/>
        <v>109.956164078649</v>
      </c>
      <c r="AC233" s="188">
        <f t="shared" si="184"/>
        <v>109.21355040304071</v>
      </c>
      <c r="AD233" s="188">
        <f t="shared" si="184"/>
        <v>108.46866930043083</v>
      </c>
      <c r="AE233" s="188">
        <f t="shared" si="184"/>
        <v>107.75372498325228</v>
      </c>
      <c r="AF233" s="188">
        <f t="shared" si="184"/>
        <v>107.03595873191672</v>
      </c>
      <c r="AG233" s="188">
        <f t="shared" si="184"/>
        <v>106.31545876199012</v>
      </c>
      <c r="AH233" s="188">
        <f t="shared" si="184"/>
        <v>105.59230884915766</v>
      </c>
      <c r="AI233" s="188">
        <f t="shared" si="184"/>
        <v>104.86658863407885</v>
      </c>
      <c r="AJ233" s="188">
        <f t="shared" si="184"/>
        <v>104.17035995347956</v>
      </c>
      <c r="AK233" s="188">
        <f t="shared" si="184"/>
        <v>103.47100954298662</v>
      </c>
      <c r="AL233" s="188">
        <f t="shared" si="184"/>
        <v>102.76863770564513</v>
      </c>
      <c r="AM233" s="188">
        <f t="shared" si="184"/>
        <v>102.06333955861612</v>
      </c>
      <c r="AN233" s="188">
        <f t="shared" si="184"/>
        <v>101.35520539877024</v>
      </c>
      <c r="AO233" s="188">
        <f t="shared" si="184"/>
        <v>100.65318207627094</v>
      </c>
      <c r="AP233" s="188">
        <f t="shared" si="184"/>
        <v>99.948300652081684</v>
      </c>
      <c r="AQ233" s="188">
        <f t="shared" si="184"/>
        <v>99.240647189392661</v>
      </c>
      <c r="AR233" s="188">
        <f t="shared" si="184"/>
        <v>98.530303575983524</v>
      </c>
      <c r="AS233" s="188">
        <f t="shared" si="184"/>
        <v>97.817347800777043</v>
      </c>
      <c r="AT233" s="188">
        <f t="shared" si="184"/>
        <v>97.104016532781714</v>
      </c>
      <c r="AU233" s="188">
        <f t="shared" si="184"/>
        <v>96.3881753513013</v>
      </c>
      <c r="AV233" s="188">
        <f t="shared" si="184"/>
        <v>95.669893752583945</v>
      </c>
    </row>
    <row r="234" spans="1:48">
      <c r="A234" s="4" t="s">
        <v>17</v>
      </c>
      <c r="B234" s="96" t="str">
        <f t="shared" si="182"/>
        <v>CEH</v>
      </c>
      <c r="C234" s="96" t="str">
        <f t="shared" si="182"/>
        <v>Commercial - Space Heating</v>
      </c>
      <c r="E234" s="123"/>
      <c r="F234" s="123"/>
      <c r="I234" s="181"/>
      <c r="J234" s="188">
        <f t="shared" si="183"/>
        <v>7.8517549075018991</v>
      </c>
      <c r="K234" s="188">
        <f t="shared" ref="K234:Y234" si="185">K163+K175+K152</f>
        <v>8.5396147244005789</v>
      </c>
      <c r="L234" s="188">
        <f t="shared" si="185"/>
        <v>9.2656974702241772</v>
      </c>
      <c r="M234" s="188">
        <f t="shared" si="185"/>
        <v>9.992171735746485</v>
      </c>
      <c r="N234" s="188">
        <f t="shared" si="185"/>
        <v>10.72674574308062</v>
      </c>
      <c r="O234" s="188">
        <f t="shared" si="185"/>
        <v>11.470981711368381</v>
      </c>
      <c r="P234" s="188">
        <f t="shared" si="185"/>
        <v>11.391824892033055</v>
      </c>
      <c r="Q234" s="188">
        <f t="shared" si="185"/>
        <v>11.312582042762314</v>
      </c>
      <c r="R234" s="188">
        <f t="shared" si="185"/>
        <v>11.233254784561129</v>
      </c>
      <c r="S234" s="188">
        <f t="shared" si="185"/>
        <v>11.153844688871642</v>
      </c>
      <c r="T234" s="188">
        <f t="shared" si="185"/>
        <v>11.074353279656316</v>
      </c>
      <c r="U234" s="188">
        <f t="shared" si="185"/>
        <v>10.999208745408366</v>
      </c>
      <c r="V234" s="188">
        <f t="shared" si="185"/>
        <v>10.923919180815295</v>
      </c>
      <c r="W234" s="188">
        <f t="shared" si="185"/>
        <v>10.848488069027848</v>
      </c>
      <c r="X234" s="188">
        <f t="shared" si="185"/>
        <v>10.77291875789642</v>
      </c>
      <c r="Y234" s="188">
        <f t="shared" si="185"/>
        <v>10.697214467172804</v>
      </c>
      <c r="Z234" s="188">
        <f t="shared" si="184"/>
        <v>10.627082688921554</v>
      </c>
      <c r="AA234" s="188">
        <f t="shared" si="184"/>
        <v>10.55671441337832</v>
      </c>
      <c r="AB234" s="188">
        <f t="shared" si="184"/>
        <v>10.486116729057617</v>
      </c>
      <c r="AC234" s="188">
        <f t="shared" si="184"/>
        <v>10.415296382128698</v>
      </c>
      <c r="AD234" s="188">
        <f t="shared" si="184"/>
        <v>10.344259798989535</v>
      </c>
      <c r="AE234" s="188">
        <f t="shared" si="184"/>
        <v>10.276078177453989</v>
      </c>
      <c r="AF234" s="188">
        <f t="shared" si="184"/>
        <v>10.207627438391292</v>
      </c>
      <c r="AG234" s="188">
        <f t="shared" si="184"/>
        <v>10.138915994596937</v>
      </c>
      <c r="AH234" s="188">
        <f t="shared" si="184"/>
        <v>10.069951835451253</v>
      </c>
      <c r="AI234" s="188">
        <f t="shared" si="184"/>
        <v>10.000742555992305</v>
      </c>
      <c r="AJ234" s="188">
        <f t="shared" si="184"/>
        <v>9.9343457761841272</v>
      </c>
      <c r="AK234" s="188">
        <f t="shared" si="184"/>
        <v>9.8676512884271883</v>
      </c>
      <c r="AL234" s="188">
        <f t="shared" si="184"/>
        <v>9.8006686582556117</v>
      </c>
      <c r="AM234" s="188">
        <f t="shared" si="184"/>
        <v>9.7334069566447372</v>
      </c>
      <c r="AN234" s="188">
        <f t="shared" si="184"/>
        <v>9.6658747948764745</v>
      </c>
      <c r="AO234" s="188">
        <f t="shared" si="184"/>
        <v>9.5989254012891987</v>
      </c>
      <c r="AP234" s="188">
        <f t="shared" si="184"/>
        <v>9.5317034410095918</v>
      </c>
      <c r="AQ234" s="188">
        <f t="shared" si="184"/>
        <v>9.4642171215689537</v>
      </c>
      <c r="AR234" s="188">
        <f t="shared" si="184"/>
        <v>9.3964742523049729</v>
      </c>
      <c r="AS234" s="188">
        <f t="shared" si="184"/>
        <v>9.3284822707356323</v>
      </c>
      <c r="AT234" s="188">
        <f t="shared" si="184"/>
        <v>9.2604544797940029</v>
      </c>
      <c r="AU234" s="188">
        <f t="shared" si="184"/>
        <v>9.1921873275941408</v>
      </c>
      <c r="AV234" s="188">
        <f t="shared" si="184"/>
        <v>9.123687441738749</v>
      </c>
    </row>
    <row r="235" spans="1:48">
      <c r="A235" s="4" t="s">
        <v>17</v>
      </c>
      <c r="B235" s="96" t="str">
        <f t="shared" si="182"/>
        <v>CEK</v>
      </c>
      <c r="C235" s="96" t="str">
        <f t="shared" si="182"/>
        <v>Commercial - Cooking</v>
      </c>
      <c r="E235" s="123"/>
      <c r="F235" s="123"/>
      <c r="I235" s="181"/>
      <c r="J235" s="188">
        <f t="shared" si="183"/>
        <v>9.8944997565297612</v>
      </c>
      <c r="K235" s="188">
        <f t="shared" si="184"/>
        <v>9.6335111281757317</v>
      </c>
      <c r="L235" s="188">
        <f t="shared" si="184"/>
        <v>9.3939104831304174</v>
      </c>
      <c r="M235" s="188">
        <f t="shared" si="184"/>
        <v>9.1329628000691123</v>
      </c>
      <c r="N235" s="188">
        <f t="shared" si="184"/>
        <v>8.8608005577734126</v>
      </c>
      <c r="O235" s="188">
        <f t="shared" si="184"/>
        <v>8.579706769854079</v>
      </c>
      <c r="P235" s="188">
        <f t="shared" si="184"/>
        <v>8.5205015234488535</v>
      </c>
      <c r="Q235" s="188">
        <f t="shared" si="184"/>
        <v>8.461231931058439</v>
      </c>
      <c r="R235" s="188">
        <f t="shared" si="184"/>
        <v>8.4018992051115262</v>
      </c>
      <c r="S235" s="188">
        <f t="shared" si="184"/>
        <v>8.3425045209663455</v>
      </c>
      <c r="T235" s="188">
        <f t="shared" si="184"/>
        <v>8.2830490184687662</v>
      </c>
      <c r="U235" s="188">
        <f t="shared" si="184"/>
        <v>8.226844755797357</v>
      </c>
      <c r="V235" s="188">
        <f t="shared" si="184"/>
        <v>8.1705320178563348</v>
      </c>
      <c r="W235" s="188">
        <f t="shared" si="184"/>
        <v>8.1141134098640482</v>
      </c>
      <c r="X235" s="188">
        <f t="shared" si="184"/>
        <v>8.0575914358411147</v>
      </c>
      <c r="Y235" s="188">
        <f t="shared" si="184"/>
        <v>8.0009685039969565</v>
      </c>
      <c r="Z235" s="188">
        <f t="shared" si="184"/>
        <v>7.9485135260548461</v>
      </c>
      <c r="AA235" s="188">
        <f t="shared" si="184"/>
        <v>7.8958816602518596</v>
      </c>
      <c r="AB235" s="188">
        <f t="shared" si="184"/>
        <v>7.843078208433778</v>
      </c>
      <c r="AC235" s="188">
        <f t="shared" si="184"/>
        <v>7.7901082163896556</v>
      </c>
      <c r="AD235" s="188">
        <f t="shared" si="184"/>
        <v>7.7369764907360121</v>
      </c>
      <c r="AE235" s="188">
        <f t="shared" si="184"/>
        <v>7.6859801301291082</v>
      </c>
      <c r="AF235" s="188">
        <f t="shared" si="184"/>
        <v>7.6347824833962488</v>
      </c>
      <c r="AG235" s="188">
        <f t="shared" si="184"/>
        <v>7.583389842877553</v>
      </c>
      <c r="AH235" s="188">
        <f t="shared" si="184"/>
        <v>7.5318081842202895</v>
      </c>
      <c r="AI235" s="188">
        <f t="shared" si="184"/>
        <v>7.480043188123906</v>
      </c>
      <c r="AJ235" s="188">
        <f t="shared" si="184"/>
        <v>7.4303817977084581</v>
      </c>
      <c r="AK235" s="188">
        <f t="shared" si="184"/>
        <v>7.3804977369961087</v>
      </c>
      <c r="AL235" s="188">
        <f t="shared" si="184"/>
        <v>7.3303981605164283</v>
      </c>
      <c r="AM235" s="188">
        <f t="shared" si="184"/>
        <v>7.2800898528943527</v>
      </c>
      <c r="AN235" s="188">
        <f t="shared" si="184"/>
        <v>7.2295792549276747</v>
      </c>
      <c r="AO235" s="188">
        <f t="shared" si="184"/>
        <v>7.1795045377106561</v>
      </c>
      <c r="AP235" s="188">
        <f t="shared" si="184"/>
        <v>7.1292259545687928</v>
      </c>
      <c r="AQ235" s="188">
        <f t="shared" si="184"/>
        <v>7.0787496443151081</v>
      </c>
      <c r="AR235" s="188">
        <f t="shared" si="184"/>
        <v>7.0280814479341931</v>
      </c>
      <c r="AS235" s="188">
        <f t="shared" si="184"/>
        <v>6.9772269283085411</v>
      </c>
      <c r="AT235" s="188">
        <f t="shared" si="184"/>
        <v>6.9263456251065953</v>
      </c>
      <c r="AU235" s="188">
        <f t="shared" si="184"/>
        <v>6.8752852919437117</v>
      </c>
      <c r="AV235" s="188">
        <f t="shared" si="184"/>
        <v>6.8240508859272424</v>
      </c>
    </row>
    <row r="236" spans="1:48">
      <c r="A236" s="4" t="s">
        <v>17</v>
      </c>
      <c r="B236" s="96" t="str">
        <f t="shared" si="182"/>
        <v>CEL</v>
      </c>
      <c r="C236" s="96" t="str">
        <f t="shared" si="182"/>
        <v>Commercial - Lighting</v>
      </c>
      <c r="E236" s="123"/>
      <c r="F236" s="123"/>
      <c r="I236" s="181"/>
      <c r="J236" s="188">
        <f t="shared" si="183"/>
        <v>121.54027190568891</v>
      </c>
      <c r="K236" s="188">
        <f t="shared" si="184"/>
        <v>118.19703451960771</v>
      </c>
      <c r="L236" s="188">
        <f t="shared" si="184"/>
        <v>115.11325762156608</v>
      </c>
      <c r="M236" s="188">
        <f t="shared" si="184"/>
        <v>111.76460194141681</v>
      </c>
      <c r="N236" s="188">
        <f t="shared" si="184"/>
        <v>108.27558200599515</v>
      </c>
      <c r="O236" s="188">
        <f t="shared" si="184"/>
        <v>104.67427977141128</v>
      </c>
      <c r="P236" s="188">
        <f t="shared" si="184"/>
        <v>103.95196294959042</v>
      </c>
      <c r="Q236" s="188">
        <f t="shared" si="184"/>
        <v>103.22886109282179</v>
      </c>
      <c r="R236" s="188">
        <f t="shared" si="184"/>
        <v>102.50498899299791</v>
      </c>
      <c r="S236" s="188">
        <f t="shared" si="184"/>
        <v>101.78036098974356</v>
      </c>
      <c r="T236" s="188">
        <f t="shared" si="184"/>
        <v>101.05499098942505</v>
      </c>
      <c r="U236" s="188">
        <f t="shared" si="184"/>
        <v>100.36928681875526</v>
      </c>
      <c r="V236" s="188">
        <f t="shared" si="184"/>
        <v>99.682259226315409</v>
      </c>
      <c r="W236" s="188">
        <f t="shared" si="184"/>
        <v>98.99393999633331</v>
      </c>
      <c r="X236" s="188">
        <f t="shared" si="184"/>
        <v>98.304359678402491</v>
      </c>
      <c r="Y236" s="188">
        <f t="shared" si="184"/>
        <v>97.613547653199234</v>
      </c>
      <c r="Z236" s="188">
        <f t="shared" si="184"/>
        <v>96.97358556780398</v>
      </c>
      <c r="AA236" s="188">
        <f t="shared" si="184"/>
        <v>96.331465412216573</v>
      </c>
      <c r="AB236" s="188">
        <f t="shared" si="184"/>
        <v>95.68725187010314</v>
      </c>
      <c r="AC236" s="188">
        <f t="shared" si="184"/>
        <v>95.041006501182437</v>
      </c>
      <c r="AD236" s="188">
        <f t="shared" si="184"/>
        <v>94.392787947216405</v>
      </c>
      <c r="AE236" s="188">
        <f t="shared" si="184"/>
        <v>93.77062130904568</v>
      </c>
      <c r="AF236" s="188">
        <f t="shared" si="184"/>
        <v>93.145998936567509</v>
      </c>
      <c r="AG236" s="188">
        <f t="shared" si="184"/>
        <v>92.518997597693442</v>
      </c>
      <c r="AH236" s="188">
        <f t="shared" si="184"/>
        <v>91.8896901966136</v>
      </c>
      <c r="AI236" s="188">
        <f t="shared" si="184"/>
        <v>91.25814603909096</v>
      </c>
      <c r="AJ236" s="188">
        <f t="shared" si="184"/>
        <v>90.652266326226083</v>
      </c>
      <c r="AK236" s="188">
        <f t="shared" si="184"/>
        <v>90.043669987539403</v>
      </c>
      <c r="AL236" s="188">
        <f t="shared" si="184"/>
        <v>89.432444309840349</v>
      </c>
      <c r="AM236" s="188">
        <f t="shared" si="184"/>
        <v>88.818672067021737</v>
      </c>
      <c r="AN236" s="188">
        <f t="shared" si="184"/>
        <v>88.202431838210842</v>
      </c>
      <c r="AO236" s="188">
        <f t="shared" si="184"/>
        <v>87.591509448897327</v>
      </c>
      <c r="AP236" s="188">
        <f t="shared" si="184"/>
        <v>86.978099851171535</v>
      </c>
      <c r="AQ236" s="188">
        <f t="shared" si="184"/>
        <v>86.362277939881125</v>
      </c>
      <c r="AR236" s="188">
        <f t="shared" si="184"/>
        <v>85.744114976302484</v>
      </c>
      <c r="AS236" s="188">
        <f t="shared" si="184"/>
        <v>85.123678828806177</v>
      </c>
      <c r="AT236" s="188">
        <f t="shared" si="184"/>
        <v>84.502915915881474</v>
      </c>
      <c r="AU236" s="188">
        <f t="shared" si="184"/>
        <v>83.879968798680153</v>
      </c>
      <c r="AV236" s="188">
        <f t="shared" si="184"/>
        <v>83.254897954984983</v>
      </c>
    </row>
    <row r="237" spans="1:48">
      <c r="A237" s="4" t="s">
        <v>17</v>
      </c>
      <c r="B237" s="96" t="str">
        <f t="shared" si="182"/>
        <v>CER</v>
      </c>
      <c r="C237" s="96" t="str">
        <f t="shared" si="182"/>
        <v>Commercial - Refrigeration</v>
      </c>
      <c r="E237" s="123"/>
      <c r="F237" s="123"/>
      <c r="I237" s="181"/>
      <c r="J237" s="188">
        <f t="shared" si="183"/>
        <v>29.566390373747055</v>
      </c>
      <c r="K237" s="188">
        <f t="shared" si="184"/>
        <v>28.753100588237238</v>
      </c>
      <c r="L237" s="188">
        <f t="shared" si="184"/>
        <v>28.002928236608874</v>
      </c>
      <c r="M237" s="188">
        <f t="shared" si="184"/>
        <v>27.188320374423199</v>
      </c>
      <c r="N237" s="188">
        <f t="shared" si="184"/>
        <v>26.339566921637534</v>
      </c>
      <c r="O237" s="188">
        <f t="shared" si="184"/>
        <v>25.463499211305457</v>
      </c>
      <c r="P237" s="188">
        <f t="shared" si="184"/>
        <v>25.287785426955427</v>
      </c>
      <c r="Q237" s="188">
        <f t="shared" si="184"/>
        <v>25.111880671749745</v>
      </c>
      <c r="R237" s="188">
        <f t="shared" si="184"/>
        <v>24.935788544025488</v>
      </c>
      <c r="S237" s="188">
        <f t="shared" si="184"/>
        <v>24.759512532099237</v>
      </c>
      <c r="T237" s="188">
        <f t="shared" si="184"/>
        <v>24.583056018891309</v>
      </c>
      <c r="U237" s="188">
        <f t="shared" si="184"/>
        <v>24.416248779833445</v>
      </c>
      <c r="V237" s="188">
        <f t="shared" si="184"/>
        <v>24.249119599709729</v>
      </c>
      <c r="W237" s="188">
        <f t="shared" si="184"/>
        <v>24.081676210483153</v>
      </c>
      <c r="X237" s="188">
        <f t="shared" si="184"/>
        <v>23.913926043774492</v>
      </c>
      <c r="Y237" s="188">
        <f t="shared" si="184"/>
        <v>23.745876246848852</v>
      </c>
      <c r="Z237" s="188">
        <f t="shared" si="184"/>
        <v>23.590196417072963</v>
      </c>
      <c r="AA237" s="188">
        <f t="shared" si="184"/>
        <v>23.433991606196109</v>
      </c>
      <c r="AB237" s="188">
        <f t="shared" si="184"/>
        <v>23.277277549435077</v>
      </c>
      <c r="AC237" s="188">
        <f t="shared" si="184"/>
        <v>23.120069222062217</v>
      </c>
      <c r="AD237" s="188">
        <f t="shared" si="184"/>
        <v>22.962380889515643</v>
      </c>
      <c r="AE237" s="188">
        <f t="shared" si="184"/>
        <v>22.811030054000383</v>
      </c>
      <c r="AF237" s="188">
        <f t="shared" si="184"/>
        <v>22.659081826377555</v>
      </c>
      <c r="AG237" s="188">
        <f t="shared" si="184"/>
        <v>22.50655488152756</v>
      </c>
      <c r="AH237" s="188">
        <f t="shared" si="184"/>
        <v>22.353466954425897</v>
      </c>
      <c r="AI237" s="188">
        <f t="shared" si="184"/>
        <v>22.199834904679761</v>
      </c>
      <c r="AJ237" s="188">
        <f t="shared" si="184"/>
        <v>22.052446094129813</v>
      </c>
      <c r="AK237" s="188">
        <f t="shared" si="184"/>
        <v>21.904396425921025</v>
      </c>
      <c r="AL237" s="188">
        <f t="shared" si="184"/>
        <v>21.755707133804485</v>
      </c>
      <c r="AM237" s="188">
        <f t="shared" si="184"/>
        <v>21.606398353700499</v>
      </c>
      <c r="AN237" s="188">
        <f t="shared" si="184"/>
        <v>21.456489201093298</v>
      </c>
      <c r="AO237" s="188">
        <f t="shared" si="184"/>
        <v>21.307873688166673</v>
      </c>
      <c r="AP237" s="188">
        <f t="shared" si="184"/>
        <v>21.158653126611267</v>
      </c>
      <c r="AQ237" s="188">
        <f t="shared" si="184"/>
        <v>21.008845735658184</v>
      </c>
      <c r="AR237" s="188">
        <f t="shared" si="184"/>
        <v>20.858468850620927</v>
      </c>
      <c r="AS237" s="188">
        <f t="shared" si="184"/>
        <v>20.707538981440663</v>
      </c>
      <c r="AT237" s="188">
        <f t="shared" si="184"/>
        <v>20.556529621947721</v>
      </c>
      <c r="AU237" s="188">
        <f t="shared" si="184"/>
        <v>20.404988923868103</v>
      </c>
      <c r="AV237" s="188">
        <f t="shared" si="184"/>
        <v>20.252931599277947</v>
      </c>
    </row>
    <row r="238" spans="1:48">
      <c r="A238" s="4" t="s">
        <v>17</v>
      </c>
      <c r="B238" s="96" t="str">
        <f t="shared" si="182"/>
        <v>CEW</v>
      </c>
      <c r="C238" s="96" t="str">
        <f t="shared" si="182"/>
        <v>Commercial - Water Heating</v>
      </c>
      <c r="E238" s="123"/>
      <c r="F238" s="123"/>
      <c r="I238" s="181"/>
      <c r="J238" s="188">
        <f t="shared" si="183"/>
        <v>9.6831090230750316</v>
      </c>
      <c r="K238" s="188">
        <f t="shared" si="184"/>
        <v>10.363908171049657</v>
      </c>
      <c r="L238" s="188">
        <f t="shared" si="184"/>
        <v>11.087868256773234</v>
      </c>
      <c r="M238" s="188">
        <f t="shared" si="184"/>
        <v>11.809067510645612</v>
      </c>
      <c r="N238" s="188">
        <f t="shared" si="184"/>
        <v>12.537074237974865</v>
      </c>
      <c r="O238" s="188">
        <f t="shared" si="184"/>
        <v>13.273861719969343</v>
      </c>
      <c r="P238" s="188">
        <f t="shared" si="184"/>
        <v>13.182263921237922</v>
      </c>
      <c r="Q238" s="188">
        <f t="shared" si="184"/>
        <v>13.090566571352536</v>
      </c>
      <c r="R238" s="188">
        <f t="shared" si="184"/>
        <v>12.998771546089509</v>
      </c>
      <c r="S238" s="188">
        <f t="shared" si="184"/>
        <v>12.906880663872588</v>
      </c>
      <c r="T238" s="188">
        <f t="shared" si="184"/>
        <v>12.814895688183542</v>
      </c>
      <c r="U238" s="188">
        <f t="shared" si="184"/>
        <v>12.727940780424403</v>
      </c>
      <c r="V238" s="188">
        <f t="shared" si="184"/>
        <v>12.64081804808017</v>
      </c>
      <c r="W238" s="188">
        <f t="shared" si="184"/>
        <v>12.553531521744086</v>
      </c>
      <c r="X238" s="188">
        <f t="shared" si="184"/>
        <v>12.466085075444045</v>
      </c>
      <c r="Y238" s="188">
        <f t="shared" si="184"/>
        <v>12.378482434976252</v>
      </c>
      <c r="Z238" s="188">
        <f t="shared" si="184"/>
        <v>12.297328131874185</v>
      </c>
      <c r="AA238" s="188">
        <f t="shared" si="184"/>
        <v>12.215900161493245</v>
      </c>
      <c r="AB238" s="188">
        <f t="shared" si="184"/>
        <v>12.134206726441011</v>
      </c>
      <c r="AC238" s="188">
        <f t="shared" si="184"/>
        <v>12.052255633173807</v>
      </c>
      <c r="AD238" s="188">
        <f t="shared" si="184"/>
        <v>11.970054318118631</v>
      </c>
      <c r="AE238" s="188">
        <f t="shared" si="184"/>
        <v>11.891156675451381</v>
      </c>
      <c r="AF238" s="188">
        <f t="shared" si="184"/>
        <v>11.811947618388073</v>
      </c>
      <c r="AG238" s="188">
        <f t="shared" si="184"/>
        <v>11.732436881952864</v>
      </c>
      <c r="AH238" s="188">
        <f t="shared" si="184"/>
        <v>11.652633711207107</v>
      </c>
      <c r="AI238" s="188">
        <f t="shared" si="184"/>
        <v>11.572546894891609</v>
      </c>
      <c r="AJ238" s="188">
        <f t="shared" si="184"/>
        <v>11.495714615318576</v>
      </c>
      <c r="AK238" s="188">
        <f t="shared" si="184"/>
        <v>11.418537837406674</v>
      </c>
      <c r="AL238" s="188">
        <f t="shared" si="184"/>
        <v>11.341027630093189</v>
      </c>
      <c r="AM238" s="188">
        <f t="shared" si="184"/>
        <v>11.263194490027439</v>
      </c>
      <c r="AN238" s="188">
        <f t="shared" si="184"/>
        <v>11.185048381915863</v>
      </c>
      <c r="AO238" s="188">
        <f t="shared" si="184"/>
        <v>11.107576634939527</v>
      </c>
      <c r="AP238" s="188">
        <f t="shared" si="184"/>
        <v>11.029789482300927</v>
      </c>
      <c r="AQ238" s="188">
        <f t="shared" si="184"/>
        <v>10.951696421498911</v>
      </c>
      <c r="AR238" s="188">
        <f t="shared" si="184"/>
        <v>10.873306489255112</v>
      </c>
      <c r="AS238" s="188">
        <f t="shared" si="184"/>
        <v>10.794628292033012</v>
      </c>
      <c r="AT238" s="188">
        <f t="shared" si="184"/>
        <v>10.715908657323871</v>
      </c>
      <c r="AU238" s="188">
        <f t="shared" si="184"/>
        <v>10.636912041243573</v>
      </c>
      <c r="AV238" s="188">
        <f t="shared" si="184"/>
        <v>10.557646113046946</v>
      </c>
    </row>
    <row r="239" spans="1:48">
      <c r="A239" s="4" t="s">
        <v>17</v>
      </c>
      <c r="B239" s="96" t="str">
        <f t="shared" si="182"/>
        <v>CEG</v>
      </c>
      <c r="C239" s="96" t="str">
        <f t="shared" si="182"/>
        <v>Commercial - Public lights</v>
      </c>
      <c r="E239" s="123"/>
      <c r="F239" s="123"/>
      <c r="I239" s="181"/>
      <c r="J239" s="188">
        <f t="shared" si="183"/>
        <v>10.30055287377321</v>
      </c>
      <c r="K239" s="188">
        <f t="shared" si="184"/>
        <v>10.017213097376901</v>
      </c>
      <c r="L239" s="188">
        <f t="shared" si="184"/>
        <v>9.7558626290000774</v>
      </c>
      <c r="M239" s="188">
        <f t="shared" si="184"/>
        <v>9.4720636515203847</v>
      </c>
      <c r="N239" s="188">
        <f t="shared" si="184"/>
        <v>9.1763687862797756</v>
      </c>
      <c r="O239" s="188">
        <f t="shared" si="184"/>
        <v>8.8711579824850144</v>
      </c>
      <c r="P239" s="188">
        <f t="shared" si="184"/>
        <v>8.9199221078695032</v>
      </c>
      <c r="Q239" s="188">
        <f t="shared" si="184"/>
        <v>8.9683535742159428</v>
      </c>
      <c r="R239" s="188">
        <f t="shared" si="184"/>
        <v>9.0164586495978138</v>
      </c>
      <c r="S239" s="188">
        <f t="shared" si="184"/>
        <v>9.0642434104398664</v>
      </c>
      <c r="T239" s="188">
        <f t="shared" si="184"/>
        <v>9.1117137495733171</v>
      </c>
      <c r="U239" s="188">
        <f t="shared" si="184"/>
        <v>9.1759925082195775</v>
      </c>
      <c r="V239" s="188">
        <f t="shared" si="184"/>
        <v>9.2397104660833946</v>
      </c>
      <c r="W239" s="188">
        <f t="shared" si="184"/>
        <v>9.3028810917506846</v>
      </c>
      <c r="X239" s="188">
        <f t="shared" si="184"/>
        <v>9.3655173306303396</v>
      </c>
      <c r="Y239" s="188">
        <f t="shared" si="184"/>
        <v>9.427631632801873</v>
      </c>
      <c r="Z239" s="188">
        <f t="shared" si="184"/>
        <v>9.5112936279893798</v>
      </c>
      <c r="AA239" s="188">
        <f t="shared" si="184"/>
        <v>9.5940411396163654</v>
      </c>
      <c r="AB239" s="188">
        <f t="shared" si="184"/>
        <v>9.6759015774258383</v>
      </c>
      <c r="AC239" s="188">
        <f t="shared" si="184"/>
        <v>9.7569010273861547</v>
      </c>
      <c r="AD239" s="188">
        <f t="shared" si="184"/>
        <v>9.8370643389797188</v>
      </c>
      <c r="AE239" s="188">
        <f t="shared" si="184"/>
        <v>9.9282671657851989</v>
      </c>
      <c r="AF239" s="188">
        <f t="shared" si="184"/>
        <v>10.018429373679714</v>
      </c>
      <c r="AG239" s="188">
        <f t="shared" si="184"/>
        <v>10.107583493112621</v>
      </c>
      <c r="AH239" s="188">
        <f t="shared" si="184"/>
        <v>10.19576041727896</v>
      </c>
      <c r="AI239" s="188">
        <f t="shared" si="184"/>
        <v>10.282989514538064</v>
      </c>
      <c r="AJ239" s="188">
        <f t="shared" si="184"/>
        <v>10.381093935878171</v>
      </c>
      <c r="AK239" s="188">
        <f t="shared" si="184"/>
        <v>10.478047185368929</v>
      </c>
      <c r="AL239" s="188">
        <f t="shared" si="184"/>
        <v>10.5738862508491</v>
      </c>
      <c r="AM239" s="188">
        <f t="shared" si="184"/>
        <v>10.668646207806262</v>
      </c>
      <c r="AN239" s="188">
        <f t="shared" si="184"/>
        <v>10.762360354193531</v>
      </c>
      <c r="AO239" s="188">
        <f t="shared" si="184"/>
        <v>10.858327938312101</v>
      </c>
      <c r="AP239" s="188">
        <f t="shared" si="184"/>
        <v>10.95324156634859</v>
      </c>
      <c r="AQ239" s="188">
        <f t="shared" si="184"/>
        <v>11.047132975040372</v>
      </c>
      <c r="AR239" s="188">
        <f t="shared" si="184"/>
        <v>11.140032361396793</v>
      </c>
      <c r="AS239" s="188">
        <f t="shared" si="184"/>
        <v>11.231968484681294</v>
      </c>
      <c r="AT239" s="188">
        <f t="shared" si="184"/>
        <v>11.32376614091616</v>
      </c>
      <c r="AU239" s="188">
        <f t="shared" si="184"/>
        <v>11.414638239256274</v>
      </c>
      <c r="AV239" s="188">
        <f t="shared" si="184"/>
        <v>11.504610407198978</v>
      </c>
    </row>
    <row r="240" spans="1:48">
      <c r="A240" s="4" t="s">
        <v>17</v>
      </c>
      <c r="B240" s="96" t="str">
        <f t="shared" si="182"/>
        <v>CET</v>
      </c>
      <c r="C240" s="96" t="str">
        <f t="shared" si="182"/>
        <v>Commercial - Public Water</v>
      </c>
      <c r="E240" s="123"/>
      <c r="F240" s="123"/>
      <c r="I240" s="181"/>
      <c r="J240" s="188">
        <f t="shared" si="183"/>
        <v>3.5593512487513528</v>
      </c>
      <c r="K240" s="188">
        <f t="shared" si="184"/>
        <v>3.4614433209638125</v>
      </c>
      <c r="L240" s="188">
        <f t="shared" si="184"/>
        <v>3.3711337883223824</v>
      </c>
      <c r="M240" s="188">
        <f t="shared" si="184"/>
        <v>3.2730671838143199</v>
      </c>
      <c r="N240" s="188">
        <f t="shared" si="184"/>
        <v>3.1708899608301726</v>
      </c>
      <c r="O240" s="188">
        <f t="shared" ref="K240:AV241" si="186">O169+O181+O158</f>
        <v>3.0654245097100388</v>
      </c>
      <c r="P240" s="188">
        <f t="shared" si="186"/>
        <v>3.0822749305280785</v>
      </c>
      <c r="Q240" s="188">
        <f t="shared" si="186"/>
        <v>3.0990104011704336</v>
      </c>
      <c r="R240" s="188">
        <f t="shared" si="186"/>
        <v>3.1156330875669775</v>
      </c>
      <c r="S240" s="188">
        <f t="shared" si="186"/>
        <v>3.1321450894234504</v>
      </c>
      <c r="T240" s="188">
        <f t="shared" si="186"/>
        <v>3.1485484430049366</v>
      </c>
      <c r="U240" s="188">
        <f t="shared" si="186"/>
        <v>3.1707599381216975</v>
      </c>
      <c r="V240" s="188">
        <f t="shared" si="186"/>
        <v>3.1927776487892396</v>
      </c>
      <c r="W240" s="188">
        <f t="shared" si="186"/>
        <v>3.2146062290711557</v>
      </c>
      <c r="X240" s="188">
        <f t="shared" si="186"/>
        <v>3.2362501522474587</v>
      </c>
      <c r="Y240" s="188">
        <f t="shared" si="186"/>
        <v>3.2577137204373252</v>
      </c>
      <c r="Z240" s="188">
        <f t="shared" si="186"/>
        <v>3.2866230839144919</v>
      </c>
      <c r="AA240" s="188">
        <f t="shared" si="186"/>
        <v>3.3152164480231785</v>
      </c>
      <c r="AB240" s="188">
        <f t="shared" si="186"/>
        <v>3.3435032841873187</v>
      </c>
      <c r="AC240" s="188">
        <f t="shared" si="186"/>
        <v>3.3714926064011288</v>
      </c>
      <c r="AD240" s="188">
        <f t="shared" si="186"/>
        <v>3.3991930013916818</v>
      </c>
      <c r="AE240" s="188">
        <f t="shared" si="186"/>
        <v>3.4307080957228102</v>
      </c>
      <c r="AF240" s="188">
        <f t="shared" si="186"/>
        <v>3.4618636046738516</v>
      </c>
      <c r="AG240" s="188">
        <f t="shared" si="186"/>
        <v>3.4926707691264336</v>
      </c>
      <c r="AH240" s="188">
        <f t="shared" si="186"/>
        <v>3.5231402642097152</v>
      </c>
      <c r="AI240" s="188">
        <f t="shared" si="186"/>
        <v>3.5532822381465876</v>
      </c>
      <c r="AJ240" s="188">
        <f t="shared" si="186"/>
        <v>3.5871821752552076</v>
      </c>
      <c r="AK240" s="188">
        <f t="shared" si="186"/>
        <v>3.6206843254673666</v>
      </c>
      <c r="AL240" s="188">
        <f t="shared" si="186"/>
        <v>3.6538014699135219</v>
      </c>
      <c r="AM240" s="188">
        <f t="shared" si="186"/>
        <v>3.6865457289120731</v>
      </c>
      <c r="AN240" s="188">
        <f t="shared" si="186"/>
        <v>3.7189286085552125</v>
      </c>
      <c r="AO240" s="188">
        <f t="shared" si="186"/>
        <v>3.752090162557018</v>
      </c>
      <c r="AP240" s="188">
        <f t="shared" si="186"/>
        <v>3.7848875225254686</v>
      </c>
      <c r="AQ240" s="188">
        <f t="shared" si="186"/>
        <v>3.8173316550753849</v>
      </c>
      <c r="AR240" s="188">
        <f t="shared" si="186"/>
        <v>3.849432994769284</v>
      </c>
      <c r="AS240" s="188">
        <f t="shared" si="186"/>
        <v>3.8812014793572556</v>
      </c>
      <c r="AT240" s="188">
        <f t="shared" si="186"/>
        <v>3.9129221167207064</v>
      </c>
      <c r="AU240" s="188">
        <f t="shared" si="186"/>
        <v>3.9443229279846417</v>
      </c>
      <c r="AV240" s="188">
        <f t="shared" si="186"/>
        <v>3.9754127687188334</v>
      </c>
    </row>
    <row r="241" spans="1:48">
      <c r="A241" s="4" t="s">
        <v>17</v>
      </c>
      <c r="B241" s="96" t="str">
        <f t="shared" si="182"/>
        <v>CEO</v>
      </c>
      <c r="C241" s="96" t="str">
        <f t="shared" si="182"/>
        <v>Commercial - Other</v>
      </c>
      <c r="E241" s="123"/>
      <c r="F241" s="123"/>
      <c r="I241" s="181"/>
      <c r="J241" s="188">
        <f t="shared" si="183"/>
        <v>18.760184357078931</v>
      </c>
      <c r="K241" s="188">
        <f t="shared" si="186"/>
        <v>18.405836512295583</v>
      </c>
      <c r="L241" s="188">
        <f t="shared" si="186"/>
        <v>18.095376663240405</v>
      </c>
      <c r="M241" s="188">
        <f t="shared" si="186"/>
        <v>17.747163061802897</v>
      </c>
      <c r="N241" s="188">
        <f t="shared" si="186"/>
        <v>17.380354928482756</v>
      </c>
      <c r="O241" s="188">
        <f t="shared" si="186"/>
        <v>16.999241745794041</v>
      </c>
      <c r="P241" s="188">
        <f t="shared" si="186"/>
        <v>16.881936536739811</v>
      </c>
      <c r="Q241" s="188">
        <f t="shared" si="186"/>
        <v>16.764503836969759</v>
      </c>
      <c r="R241" s="188">
        <f t="shared" si="186"/>
        <v>16.646946048706834</v>
      </c>
      <c r="S241" s="188">
        <f t="shared" si="186"/>
        <v>16.529265500725103</v>
      </c>
      <c r="T241" s="188">
        <f t="shared" si="186"/>
        <v>16.411464451436885</v>
      </c>
      <c r="U241" s="188">
        <f t="shared" si="186"/>
        <v>16.300105185447467</v>
      </c>
      <c r="V241" s="188">
        <f t="shared" si="186"/>
        <v>16.188530994008843</v>
      </c>
      <c r="W241" s="188">
        <f t="shared" si="186"/>
        <v>16.07674703892172</v>
      </c>
      <c r="X241" s="188">
        <f t="shared" si="186"/>
        <v>15.96475828148057</v>
      </c>
      <c r="Y241" s="188">
        <f t="shared" si="186"/>
        <v>15.852569493146159</v>
      </c>
      <c r="Z241" s="188">
        <f t="shared" si="186"/>
        <v>15.748638802421238</v>
      </c>
      <c r="AA241" s="188">
        <f t="shared" si="186"/>
        <v>15.644357638237304</v>
      </c>
      <c r="AB241" s="188">
        <f t="shared" si="186"/>
        <v>15.539736505307463</v>
      </c>
      <c r="AC241" s="188">
        <f t="shared" si="186"/>
        <v>15.434785401011606</v>
      </c>
      <c r="AD241" s="188">
        <f t="shared" si="186"/>
        <v>15.329513848849592</v>
      </c>
      <c r="AE241" s="188">
        <f t="shared" si="186"/>
        <v>15.228473162335874</v>
      </c>
      <c r="AF241" s="188">
        <f t="shared" si="186"/>
        <v>15.127033661316371</v>
      </c>
      <c r="AG241" s="188">
        <f t="shared" si="186"/>
        <v>15.025207813001646</v>
      </c>
      <c r="AH241" s="188">
        <f t="shared" si="186"/>
        <v>14.923007457128787</v>
      </c>
      <c r="AI241" s="188">
        <f t="shared" si="186"/>
        <v>14.820443849045541</v>
      </c>
      <c r="AJ241" s="188">
        <f t="shared" si="186"/>
        <v>14.722048180784395</v>
      </c>
      <c r="AK241" s="188">
        <f t="shared" si="186"/>
        <v>14.623211328889804</v>
      </c>
      <c r="AL241" s="188">
        <f t="shared" si="186"/>
        <v>14.523947468855287</v>
      </c>
      <c r="AM241" s="188">
        <f t="shared" si="186"/>
        <v>14.424270043270731</v>
      </c>
      <c r="AN241" s="188">
        <f t="shared" si="186"/>
        <v>14.324191813490533</v>
      </c>
      <c r="AO241" s="188">
        <f t="shared" si="186"/>
        <v>14.224977207891738</v>
      </c>
      <c r="AP241" s="188">
        <f t="shared" si="186"/>
        <v>14.125358676350823</v>
      </c>
      <c r="AQ241" s="188">
        <f t="shared" si="186"/>
        <v>14.025348381890293</v>
      </c>
      <c r="AR241" s="188">
        <f t="shared" si="186"/>
        <v>13.924957897435871</v>
      </c>
      <c r="AS241" s="188">
        <f t="shared" si="186"/>
        <v>13.82419824490087</v>
      </c>
      <c r="AT241" s="188">
        <f t="shared" si="186"/>
        <v>13.723385525227279</v>
      </c>
      <c r="AU241" s="188">
        <f t="shared" si="186"/>
        <v>13.622218087884731</v>
      </c>
      <c r="AV241" s="188">
        <f t="shared" si="186"/>
        <v>13.520705754545286</v>
      </c>
    </row>
    <row r="242" spans="1:48">
      <c r="A242" s="4" t="s">
        <v>17</v>
      </c>
      <c r="E242" s="123"/>
      <c r="F242" s="123"/>
      <c r="J242" s="97"/>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row>
    <row r="243" spans="1:48">
      <c r="A243" s="4" t="s">
        <v>17</v>
      </c>
      <c r="E243" s="123"/>
      <c r="F243" s="123"/>
      <c r="J243" s="97"/>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row>
    <row r="244" spans="1:48">
      <c r="A244" s="4" t="s">
        <v>17</v>
      </c>
      <c r="E244" s="123"/>
      <c r="F244" s="123"/>
      <c r="J244" s="97"/>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row>
    <row r="245" spans="1:48">
      <c r="A245" s="4" t="s">
        <v>17</v>
      </c>
      <c r="B245" s="191" t="s">
        <v>516</v>
      </c>
      <c r="C245" s="125"/>
      <c r="D245" s="125"/>
      <c r="E245" s="126"/>
      <c r="F245" s="126"/>
      <c r="G245" s="125"/>
      <c r="H245" s="125"/>
      <c r="I245" s="192"/>
      <c r="J245" s="197">
        <f t="shared" ref="J245:AV245" si="187">SUM(J220:J241)</f>
        <v>350.82050880003044</v>
      </c>
      <c r="K245" s="197">
        <f t="shared" si="187"/>
        <v>343.19427445033494</v>
      </c>
      <c r="L245" s="197">
        <f t="shared" si="187"/>
        <v>336.36501688665589</v>
      </c>
      <c r="M245" s="197">
        <f t="shared" si="187"/>
        <v>328.81039175983881</v>
      </c>
      <c r="N245" s="197">
        <f t="shared" si="187"/>
        <v>320.88905298919758</v>
      </c>
      <c r="O245" s="197">
        <f t="shared" si="187"/>
        <v>312.68149374589541</v>
      </c>
      <c r="P245" s="197">
        <f t="shared" si="187"/>
        <v>314.40028170982737</v>
      </c>
      <c r="Q245" s="197">
        <f t="shared" si="187"/>
        <v>316.10734444858235</v>
      </c>
      <c r="R245" s="197">
        <f t="shared" si="187"/>
        <v>317.80290289279679</v>
      </c>
      <c r="S245" s="197">
        <f t="shared" si="187"/>
        <v>319.48717121806868</v>
      </c>
      <c r="T245" s="197">
        <f t="shared" si="187"/>
        <v>321.16035712887953</v>
      </c>
      <c r="U245" s="197">
        <f t="shared" si="187"/>
        <v>323.42598900121538</v>
      </c>
      <c r="V245" s="197">
        <f t="shared" si="187"/>
        <v>325.67185434175292</v>
      </c>
      <c r="W245" s="197">
        <f t="shared" si="187"/>
        <v>327.89842787741884</v>
      </c>
      <c r="X245" s="197">
        <f t="shared" si="187"/>
        <v>330.10616589473102</v>
      </c>
      <c r="Y245" s="197">
        <f t="shared" si="187"/>
        <v>332.2955072213453</v>
      </c>
      <c r="Z245" s="197">
        <f t="shared" si="187"/>
        <v>335.24433956957313</v>
      </c>
      <c r="AA245" s="197">
        <f t="shared" si="187"/>
        <v>338.16093913756265</v>
      </c>
      <c r="AB245" s="197">
        <f t="shared" si="187"/>
        <v>341.04627203587148</v>
      </c>
      <c r="AC245" s="197">
        <f t="shared" si="187"/>
        <v>343.85523014783996</v>
      </c>
      <c r="AD245" s="197">
        <f t="shared" si="187"/>
        <v>346.63494368101334</v>
      </c>
      <c r="AE245" s="197">
        <f t="shared" si="187"/>
        <v>349.80077270094438</v>
      </c>
      <c r="AF245" s="197">
        <f t="shared" si="187"/>
        <v>352.93020527867429</v>
      </c>
      <c r="AG245" s="197">
        <f t="shared" si="187"/>
        <v>356.0243791915467</v>
      </c>
      <c r="AH245" s="197">
        <f t="shared" si="187"/>
        <v>359.08437495268277</v>
      </c>
      <c r="AI245" s="197">
        <f t="shared" ref="AI245:AR245" si="188">SUM(AI220:AI241)</f>
        <v>362.1112197429091</v>
      </c>
      <c r="AJ245" s="197">
        <f t="shared" si="188"/>
        <v>365.51843730952754</v>
      </c>
      <c r="AK245" s="197">
        <f t="shared" si="188"/>
        <v>368.88539176038262</v>
      </c>
      <c r="AL245" s="197">
        <f t="shared" si="188"/>
        <v>372.21337677342007</v>
      </c>
      <c r="AM245" s="197">
        <f t="shared" si="188"/>
        <v>375.40509518271932</v>
      </c>
      <c r="AN245" s="197">
        <f t="shared" si="188"/>
        <v>378.56079716638561</v>
      </c>
      <c r="AO245" s="197">
        <f t="shared" si="188"/>
        <v>381.79410476506899</v>
      </c>
      <c r="AP245" s="197">
        <f t="shared" si="188"/>
        <v>384.99111541673022</v>
      </c>
      <c r="AQ245" s="197">
        <f t="shared" si="188"/>
        <v>388.15292209544538</v>
      </c>
      <c r="AR245" s="197">
        <f t="shared" si="188"/>
        <v>391.28056474895726</v>
      </c>
      <c r="AS245" s="197">
        <f t="shared" si="187"/>
        <v>394.37503381081359</v>
      </c>
      <c r="AT245" s="197">
        <f t="shared" si="187"/>
        <v>397.46473423833083</v>
      </c>
      <c r="AU245" s="197">
        <f t="shared" si="187"/>
        <v>400.52255959397081</v>
      </c>
      <c r="AV245" s="197">
        <f t="shared" si="187"/>
        <v>403.54939245712109</v>
      </c>
    </row>
    <row r="246" spans="1:48">
      <c r="A246" s="4" t="s">
        <v>17</v>
      </c>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row>
    <row r="247" spans="1:48" s="4" customFormat="1" ht="21.6">
      <c r="A247" s="4" t="s">
        <v>17</v>
      </c>
      <c r="B247" s="16" t="s">
        <v>19</v>
      </c>
      <c r="C247" s="16" t="s">
        <v>20</v>
      </c>
      <c r="D247" s="16" t="s">
        <v>21</v>
      </c>
      <c r="E247" s="16" t="s">
        <v>22</v>
      </c>
      <c r="F247" s="16" t="s">
        <v>23</v>
      </c>
      <c r="G247" s="16" t="s">
        <v>24</v>
      </c>
      <c r="H247" s="16" t="s">
        <v>25</v>
      </c>
      <c r="I247" s="17" t="s">
        <v>26</v>
      </c>
      <c r="J247" s="198">
        <v>2012</v>
      </c>
      <c r="K247" s="198">
        <v>2013</v>
      </c>
      <c r="L247" s="198">
        <v>2014</v>
      </c>
      <c r="M247" s="198">
        <v>2015</v>
      </c>
      <c r="N247" s="198">
        <v>2016</v>
      </c>
      <c r="O247" s="198">
        <v>2017</v>
      </c>
      <c r="P247" s="198">
        <v>2018</v>
      </c>
      <c r="Q247" s="198">
        <v>2019</v>
      </c>
      <c r="R247" s="198">
        <v>2020</v>
      </c>
      <c r="S247" s="198">
        <v>2021</v>
      </c>
      <c r="T247" s="198">
        <v>2022</v>
      </c>
      <c r="U247" s="198">
        <v>2023</v>
      </c>
      <c r="V247" s="198">
        <v>2024</v>
      </c>
      <c r="W247" s="198">
        <v>2025</v>
      </c>
      <c r="X247" s="198">
        <v>2026</v>
      </c>
      <c r="Y247" s="198">
        <v>2027</v>
      </c>
      <c r="Z247" s="198">
        <v>2028</v>
      </c>
      <c r="AA247" s="198">
        <v>2029</v>
      </c>
      <c r="AB247" s="198">
        <v>2030</v>
      </c>
      <c r="AC247" s="198">
        <v>2031</v>
      </c>
      <c r="AD247" s="198">
        <v>2032</v>
      </c>
      <c r="AE247" s="198">
        <v>2033</v>
      </c>
      <c r="AF247" s="198">
        <v>2034</v>
      </c>
      <c r="AG247" s="198">
        <v>2035</v>
      </c>
      <c r="AH247" s="198">
        <v>2036</v>
      </c>
      <c r="AI247" s="198">
        <v>2037</v>
      </c>
      <c r="AJ247" s="198">
        <v>2038</v>
      </c>
      <c r="AK247" s="198">
        <v>2039</v>
      </c>
      <c r="AL247" s="198">
        <v>2040</v>
      </c>
      <c r="AM247" s="198">
        <v>2045</v>
      </c>
      <c r="AN247" s="198">
        <v>2050</v>
      </c>
      <c r="AO247" s="198">
        <v>2060</v>
      </c>
      <c r="AP247" s="198">
        <v>2070</v>
      </c>
      <c r="AQ247" s="198"/>
      <c r="AR247" s="18"/>
      <c r="AS247" s="18"/>
      <c r="AT247" s="18"/>
      <c r="AU247" s="18"/>
      <c r="AV247" s="18"/>
    </row>
    <row r="248" spans="1:48" s="4" customFormat="1">
      <c r="A248" s="4" t="s">
        <v>126</v>
      </c>
      <c r="B248" s="22" t="str">
        <f t="shared" ref="B248:B256" si="189">IF(A248="*","","COM_PROJ")</f>
        <v>COM_PROJ</v>
      </c>
      <c r="C248" s="23" t="str">
        <f t="shared" ref="C248:C266" si="190">IF($A248="*","","-")</f>
        <v>-</v>
      </c>
      <c r="D248" s="22" t="str">
        <f>COM!B162</f>
        <v>CEC</v>
      </c>
      <c r="E248" s="23" t="str">
        <f t="shared" ref="E248:H263" si="191">IF($A248="*","","-")</f>
        <v>-</v>
      </c>
      <c r="F248" s="23" t="str">
        <f t="shared" si="191"/>
        <v>-</v>
      </c>
      <c r="G248" s="23" t="str">
        <f t="shared" si="191"/>
        <v>-</v>
      </c>
      <c r="H248" s="23" t="str">
        <f t="shared" si="191"/>
        <v>-</v>
      </c>
      <c r="I248" s="22">
        <f t="shared" ref="I248:I266" si="192">IF(A248="*","",0)</f>
        <v>0</v>
      </c>
      <c r="J248" s="10">
        <f t="shared" ref="J248:S256" si="193">INDEX($J$233:$AV$241,MATCH($D248,$B$233:$B$241,0),MATCH(J$247,$J$104:$AV$104,0))</f>
        <v>139.66439435388435</v>
      </c>
      <c r="K248" s="10">
        <f t="shared" si="193"/>
        <v>135.82261238822764</v>
      </c>
      <c r="L248" s="10">
        <f t="shared" si="193"/>
        <v>132.27898173779028</v>
      </c>
      <c r="M248" s="10">
        <f t="shared" si="193"/>
        <v>128.4309735004</v>
      </c>
      <c r="N248" s="10">
        <f t="shared" si="193"/>
        <v>124.42166984714328</v>
      </c>
      <c r="O248" s="10">
        <f t="shared" si="193"/>
        <v>120.28334032399778</v>
      </c>
      <c r="P248" s="10">
        <f t="shared" si="193"/>
        <v>119.45331139721114</v>
      </c>
      <c r="Q248" s="10">
        <f t="shared" si="193"/>
        <v>118.62238037082571</v>
      </c>
      <c r="R248" s="10">
        <f t="shared" si="193"/>
        <v>117.79056424250548</v>
      </c>
      <c r="S248" s="10">
        <f t="shared" si="193"/>
        <v>116.95787949020449</v>
      </c>
      <c r="T248" s="10">
        <f t="shared" ref="T248:AC256" si="194">INDEX($J$233:$AV$241,MATCH($D248,$B$233:$B$241,0),MATCH(T$247,$J$104:$AV$104,0))</f>
        <v>116.12434209401066</v>
      </c>
      <c r="U248" s="10">
        <f t="shared" si="194"/>
        <v>115.33638550809118</v>
      </c>
      <c r="V248" s="10">
        <f t="shared" si="194"/>
        <v>114.54690815134335</v>
      </c>
      <c r="W248" s="10">
        <f t="shared" si="194"/>
        <v>113.75594654766866</v>
      </c>
      <c r="X248" s="10">
        <f t="shared" si="194"/>
        <v>112.96353580222537</v>
      </c>
      <c r="Y248" s="10">
        <f t="shared" si="194"/>
        <v>112.16970967694517</v>
      </c>
      <c r="Z248" s="10">
        <f t="shared" si="194"/>
        <v>111.43431625001973</v>
      </c>
      <c r="AA248" s="10">
        <f t="shared" si="194"/>
        <v>110.69644294081627</v>
      </c>
      <c r="AB248" s="10">
        <f t="shared" si="194"/>
        <v>109.956164078649</v>
      </c>
      <c r="AC248" s="10">
        <f t="shared" si="194"/>
        <v>109.21355040304071</v>
      </c>
      <c r="AD248" s="10">
        <f t="shared" ref="AD248:AN256" si="195">INDEX($J$233:$AV$241,MATCH($D248,$B$233:$B$241,0),MATCH(AD$247,$J$104:$AV$104,0))</f>
        <v>108.46866930043083</v>
      </c>
      <c r="AE248" s="10">
        <f t="shared" si="195"/>
        <v>107.75372498325228</v>
      </c>
      <c r="AF248" s="10">
        <f t="shared" si="195"/>
        <v>107.03595873191672</v>
      </c>
      <c r="AG248" s="10">
        <f t="shared" si="195"/>
        <v>106.31545876199012</v>
      </c>
      <c r="AH248" s="10">
        <f t="shared" si="195"/>
        <v>105.59230884915766</v>
      </c>
      <c r="AI248" s="10">
        <f t="shared" si="195"/>
        <v>104.86658863407885</v>
      </c>
      <c r="AJ248" s="10">
        <f t="shared" si="195"/>
        <v>104.17035995347956</v>
      </c>
      <c r="AK248" s="10">
        <f t="shared" si="195"/>
        <v>103.47100954298662</v>
      </c>
      <c r="AL248" s="10">
        <f t="shared" si="195"/>
        <v>102.76863770564513</v>
      </c>
      <c r="AM248" s="10">
        <f>INDEX($J$233:$AV$241,MATCH($D248,$B$233:$B$241,0),MATCH(AM$247,$J$104:$AV$104,0))</f>
        <v>99.240647189392661</v>
      </c>
      <c r="AN248" s="10">
        <f>INDEX($J$233:$AV$241,MATCH($D248,$B$233:$B$241,0),MATCH(AN$247,$J$104:$AV$104,0))</f>
        <v>95.669893752583945</v>
      </c>
      <c r="AO248" s="6">
        <f>AN248</f>
        <v>95.669893752583945</v>
      </c>
      <c r="AP248" s="6">
        <f>AO248</f>
        <v>95.669893752583945</v>
      </c>
      <c r="AQ248" s="6"/>
      <c r="AR248" s="6"/>
      <c r="AS248" s="6"/>
      <c r="AT248" s="6"/>
      <c r="AU248" s="6"/>
      <c r="AV248" s="6"/>
    </row>
    <row r="249" spans="1:48" s="4" customFormat="1">
      <c r="A249" s="4" t="s">
        <v>126</v>
      </c>
      <c r="B249" s="22" t="str">
        <f t="shared" si="189"/>
        <v>COM_PROJ</v>
      </c>
      <c r="C249" s="23" t="str">
        <f t="shared" si="190"/>
        <v>-</v>
      </c>
      <c r="D249" s="22" t="str">
        <f>COM!B163</f>
        <v>CEH</v>
      </c>
      <c r="E249" s="23" t="str">
        <f t="shared" si="191"/>
        <v>-</v>
      </c>
      <c r="F249" s="23" t="str">
        <f t="shared" si="191"/>
        <v>-</v>
      </c>
      <c r="G249" s="23" t="str">
        <f t="shared" si="191"/>
        <v>-</v>
      </c>
      <c r="H249" s="23" t="str">
        <f t="shared" si="191"/>
        <v>-</v>
      </c>
      <c r="I249" s="22">
        <f t="shared" si="192"/>
        <v>0</v>
      </c>
      <c r="J249" s="10">
        <f t="shared" si="193"/>
        <v>7.8517549075018991</v>
      </c>
      <c r="K249" s="10">
        <f t="shared" si="193"/>
        <v>8.5396147244005789</v>
      </c>
      <c r="L249" s="10">
        <f t="shared" si="193"/>
        <v>9.2656974702241772</v>
      </c>
      <c r="M249" s="10">
        <f t="shared" si="193"/>
        <v>9.992171735746485</v>
      </c>
      <c r="N249" s="10">
        <f t="shared" si="193"/>
        <v>10.72674574308062</v>
      </c>
      <c r="O249" s="10">
        <f t="shared" si="193"/>
        <v>11.470981711368381</v>
      </c>
      <c r="P249" s="10">
        <f t="shared" si="193"/>
        <v>11.391824892033055</v>
      </c>
      <c r="Q249" s="10">
        <f t="shared" si="193"/>
        <v>11.312582042762314</v>
      </c>
      <c r="R249" s="10">
        <f t="shared" si="193"/>
        <v>11.233254784561129</v>
      </c>
      <c r="S249" s="10">
        <f t="shared" si="193"/>
        <v>11.153844688871642</v>
      </c>
      <c r="T249" s="10">
        <f t="shared" si="194"/>
        <v>11.074353279656316</v>
      </c>
      <c r="U249" s="10">
        <f t="shared" si="194"/>
        <v>10.999208745408366</v>
      </c>
      <c r="V249" s="10">
        <f t="shared" si="194"/>
        <v>10.923919180815295</v>
      </c>
      <c r="W249" s="10">
        <f t="shared" si="194"/>
        <v>10.848488069027848</v>
      </c>
      <c r="X249" s="10">
        <f t="shared" si="194"/>
        <v>10.77291875789642</v>
      </c>
      <c r="Y249" s="10">
        <f t="shared" si="194"/>
        <v>10.697214467172804</v>
      </c>
      <c r="Z249" s="10">
        <f t="shared" si="194"/>
        <v>10.627082688921554</v>
      </c>
      <c r="AA249" s="10">
        <f t="shared" si="194"/>
        <v>10.55671441337832</v>
      </c>
      <c r="AB249" s="10">
        <f t="shared" si="194"/>
        <v>10.486116729057617</v>
      </c>
      <c r="AC249" s="10">
        <f t="shared" si="194"/>
        <v>10.415296382128698</v>
      </c>
      <c r="AD249" s="10">
        <f t="shared" si="195"/>
        <v>10.344259798989535</v>
      </c>
      <c r="AE249" s="10">
        <f t="shared" si="195"/>
        <v>10.276078177453989</v>
      </c>
      <c r="AF249" s="10">
        <f t="shared" si="195"/>
        <v>10.207627438391292</v>
      </c>
      <c r="AG249" s="10">
        <f t="shared" si="195"/>
        <v>10.138915994596937</v>
      </c>
      <c r="AH249" s="10">
        <f t="shared" si="195"/>
        <v>10.069951835451253</v>
      </c>
      <c r="AI249" s="10">
        <f t="shared" si="195"/>
        <v>10.000742555992305</v>
      </c>
      <c r="AJ249" s="10">
        <f t="shared" si="195"/>
        <v>9.9343457761841272</v>
      </c>
      <c r="AK249" s="10">
        <f t="shared" si="195"/>
        <v>9.8676512884271883</v>
      </c>
      <c r="AL249" s="10">
        <f t="shared" si="195"/>
        <v>9.8006686582556117</v>
      </c>
      <c r="AM249" s="10">
        <f t="shared" si="195"/>
        <v>9.4642171215689537</v>
      </c>
      <c r="AN249" s="10">
        <f t="shared" si="195"/>
        <v>9.123687441738749</v>
      </c>
      <c r="AO249" s="6">
        <f t="shared" ref="AO249:AP264" si="196">AN249</f>
        <v>9.123687441738749</v>
      </c>
      <c r="AP249" s="6">
        <f t="shared" si="196"/>
        <v>9.123687441738749</v>
      </c>
      <c r="AQ249" s="6"/>
      <c r="AR249" s="6"/>
      <c r="AS249" s="6"/>
      <c r="AT249" s="6"/>
      <c r="AU249" s="6"/>
      <c r="AV249" s="6"/>
    </row>
    <row r="250" spans="1:48" s="4" customFormat="1">
      <c r="A250" s="4" t="s">
        <v>126</v>
      </c>
      <c r="B250" s="22" t="str">
        <f t="shared" si="189"/>
        <v>COM_PROJ</v>
      </c>
      <c r="C250" s="23" t="str">
        <f t="shared" si="190"/>
        <v>-</v>
      </c>
      <c r="D250" s="22" t="str">
        <f>COM!B164</f>
        <v>CEK</v>
      </c>
      <c r="E250" s="23" t="str">
        <f t="shared" si="191"/>
        <v>-</v>
      </c>
      <c r="F250" s="23" t="str">
        <f t="shared" si="191"/>
        <v>-</v>
      </c>
      <c r="G250" s="23" t="str">
        <f t="shared" si="191"/>
        <v>-</v>
      </c>
      <c r="H250" s="23" t="str">
        <f t="shared" si="191"/>
        <v>-</v>
      </c>
      <c r="I250" s="22">
        <f t="shared" si="192"/>
        <v>0</v>
      </c>
      <c r="J250" s="10">
        <f t="shared" si="193"/>
        <v>9.8944997565297612</v>
      </c>
      <c r="K250" s="10">
        <f t="shared" si="193"/>
        <v>9.6335111281757317</v>
      </c>
      <c r="L250" s="10">
        <f t="shared" si="193"/>
        <v>9.3939104831304174</v>
      </c>
      <c r="M250" s="10">
        <f t="shared" si="193"/>
        <v>9.1329628000691123</v>
      </c>
      <c r="N250" s="10">
        <f t="shared" si="193"/>
        <v>8.8608005577734126</v>
      </c>
      <c r="O250" s="10">
        <f t="shared" si="193"/>
        <v>8.579706769854079</v>
      </c>
      <c r="P250" s="10">
        <f t="shared" si="193"/>
        <v>8.5205015234488535</v>
      </c>
      <c r="Q250" s="10">
        <f t="shared" si="193"/>
        <v>8.461231931058439</v>
      </c>
      <c r="R250" s="10">
        <f t="shared" si="193"/>
        <v>8.4018992051115262</v>
      </c>
      <c r="S250" s="10">
        <f t="shared" si="193"/>
        <v>8.3425045209663455</v>
      </c>
      <c r="T250" s="10">
        <f t="shared" si="194"/>
        <v>8.2830490184687662</v>
      </c>
      <c r="U250" s="10">
        <f t="shared" si="194"/>
        <v>8.226844755797357</v>
      </c>
      <c r="V250" s="10">
        <f t="shared" si="194"/>
        <v>8.1705320178563348</v>
      </c>
      <c r="W250" s="10">
        <f t="shared" si="194"/>
        <v>8.1141134098640482</v>
      </c>
      <c r="X250" s="10">
        <f t="shared" si="194"/>
        <v>8.0575914358411147</v>
      </c>
      <c r="Y250" s="10">
        <f t="shared" si="194"/>
        <v>8.0009685039969565</v>
      </c>
      <c r="Z250" s="10">
        <f t="shared" si="194"/>
        <v>7.9485135260548461</v>
      </c>
      <c r="AA250" s="10">
        <f t="shared" si="194"/>
        <v>7.8958816602518596</v>
      </c>
      <c r="AB250" s="10">
        <f t="shared" si="194"/>
        <v>7.843078208433778</v>
      </c>
      <c r="AC250" s="10">
        <f t="shared" si="194"/>
        <v>7.7901082163896556</v>
      </c>
      <c r="AD250" s="10">
        <f t="shared" si="195"/>
        <v>7.7369764907360121</v>
      </c>
      <c r="AE250" s="10">
        <f t="shared" si="195"/>
        <v>7.6859801301291082</v>
      </c>
      <c r="AF250" s="10">
        <f t="shared" si="195"/>
        <v>7.6347824833962488</v>
      </c>
      <c r="AG250" s="10">
        <f t="shared" si="195"/>
        <v>7.583389842877553</v>
      </c>
      <c r="AH250" s="10">
        <f t="shared" si="195"/>
        <v>7.5318081842202895</v>
      </c>
      <c r="AI250" s="10">
        <f t="shared" si="195"/>
        <v>7.480043188123906</v>
      </c>
      <c r="AJ250" s="10">
        <f t="shared" si="195"/>
        <v>7.4303817977084581</v>
      </c>
      <c r="AK250" s="10">
        <f t="shared" si="195"/>
        <v>7.3804977369961087</v>
      </c>
      <c r="AL250" s="10">
        <f t="shared" si="195"/>
        <v>7.3303981605164283</v>
      </c>
      <c r="AM250" s="10">
        <f t="shared" si="195"/>
        <v>7.0787496443151081</v>
      </c>
      <c r="AN250" s="10">
        <f t="shared" si="195"/>
        <v>6.8240508859272424</v>
      </c>
      <c r="AO250" s="6">
        <f t="shared" si="196"/>
        <v>6.8240508859272424</v>
      </c>
      <c r="AP250" s="6">
        <f t="shared" si="196"/>
        <v>6.8240508859272424</v>
      </c>
      <c r="AQ250" s="6"/>
      <c r="AR250" s="6"/>
      <c r="AS250" s="6"/>
      <c r="AT250" s="6"/>
      <c r="AU250" s="6"/>
      <c r="AV250" s="6"/>
    </row>
    <row r="251" spans="1:48" s="4" customFormat="1">
      <c r="A251" s="4" t="s">
        <v>126</v>
      </c>
      <c r="B251" s="22" t="str">
        <f t="shared" si="189"/>
        <v>COM_PROJ</v>
      </c>
      <c r="C251" s="23" t="str">
        <f t="shared" si="190"/>
        <v>-</v>
      </c>
      <c r="D251" s="22" t="str">
        <f>COM!B165</f>
        <v>CEL</v>
      </c>
      <c r="E251" s="23" t="str">
        <f t="shared" si="191"/>
        <v>-</v>
      </c>
      <c r="F251" s="23" t="str">
        <f t="shared" si="191"/>
        <v>-</v>
      </c>
      <c r="G251" s="23" t="str">
        <f t="shared" si="191"/>
        <v>-</v>
      </c>
      <c r="H251" s="23" t="str">
        <f t="shared" si="191"/>
        <v>-</v>
      </c>
      <c r="I251" s="22">
        <f t="shared" si="192"/>
        <v>0</v>
      </c>
      <c r="J251" s="10">
        <f t="shared" si="193"/>
        <v>121.54027190568891</v>
      </c>
      <c r="K251" s="10">
        <f t="shared" si="193"/>
        <v>118.19703451960771</v>
      </c>
      <c r="L251" s="10">
        <f t="shared" si="193"/>
        <v>115.11325762156608</v>
      </c>
      <c r="M251" s="10">
        <f t="shared" si="193"/>
        <v>111.76460194141681</v>
      </c>
      <c r="N251" s="10">
        <f t="shared" si="193"/>
        <v>108.27558200599515</v>
      </c>
      <c r="O251" s="10">
        <f t="shared" si="193"/>
        <v>104.67427977141128</v>
      </c>
      <c r="P251" s="10">
        <f t="shared" si="193"/>
        <v>103.95196294959042</v>
      </c>
      <c r="Q251" s="10">
        <f t="shared" si="193"/>
        <v>103.22886109282179</v>
      </c>
      <c r="R251" s="10">
        <f t="shared" si="193"/>
        <v>102.50498899299791</v>
      </c>
      <c r="S251" s="10">
        <f t="shared" si="193"/>
        <v>101.78036098974356</v>
      </c>
      <c r="T251" s="10">
        <f t="shared" si="194"/>
        <v>101.05499098942505</v>
      </c>
      <c r="U251" s="10">
        <f t="shared" si="194"/>
        <v>100.36928681875526</v>
      </c>
      <c r="V251" s="10">
        <f t="shared" si="194"/>
        <v>99.682259226315409</v>
      </c>
      <c r="W251" s="10">
        <f t="shared" si="194"/>
        <v>98.99393999633331</v>
      </c>
      <c r="X251" s="10">
        <f t="shared" si="194"/>
        <v>98.304359678402491</v>
      </c>
      <c r="Y251" s="10">
        <f t="shared" si="194"/>
        <v>97.613547653199234</v>
      </c>
      <c r="Z251" s="10">
        <f t="shared" si="194"/>
        <v>96.97358556780398</v>
      </c>
      <c r="AA251" s="10">
        <f t="shared" si="194"/>
        <v>96.331465412216573</v>
      </c>
      <c r="AB251" s="10">
        <f t="shared" si="194"/>
        <v>95.68725187010314</v>
      </c>
      <c r="AC251" s="10">
        <f t="shared" si="194"/>
        <v>95.041006501182437</v>
      </c>
      <c r="AD251" s="10">
        <f t="shared" si="195"/>
        <v>94.392787947216405</v>
      </c>
      <c r="AE251" s="10">
        <f t="shared" si="195"/>
        <v>93.77062130904568</v>
      </c>
      <c r="AF251" s="10">
        <f t="shared" si="195"/>
        <v>93.145998936567509</v>
      </c>
      <c r="AG251" s="10">
        <f t="shared" si="195"/>
        <v>92.518997597693442</v>
      </c>
      <c r="AH251" s="10">
        <f t="shared" si="195"/>
        <v>91.8896901966136</v>
      </c>
      <c r="AI251" s="10">
        <f t="shared" si="195"/>
        <v>91.25814603909096</v>
      </c>
      <c r="AJ251" s="10">
        <f t="shared" si="195"/>
        <v>90.652266326226083</v>
      </c>
      <c r="AK251" s="10">
        <f t="shared" si="195"/>
        <v>90.043669987539403</v>
      </c>
      <c r="AL251" s="10">
        <f t="shared" si="195"/>
        <v>89.432444309840349</v>
      </c>
      <c r="AM251" s="10">
        <f t="shared" si="195"/>
        <v>86.362277939881125</v>
      </c>
      <c r="AN251" s="10">
        <f t="shared" si="195"/>
        <v>83.254897954984983</v>
      </c>
      <c r="AO251" s="6">
        <f t="shared" si="196"/>
        <v>83.254897954984983</v>
      </c>
      <c r="AP251" s="6">
        <f t="shared" si="196"/>
        <v>83.254897954984983</v>
      </c>
      <c r="AQ251" s="6"/>
      <c r="AR251" s="6"/>
      <c r="AS251" s="6"/>
      <c r="AT251" s="6"/>
      <c r="AU251" s="6"/>
      <c r="AV251" s="6"/>
    </row>
    <row r="252" spans="1:48" s="4" customFormat="1">
      <c r="A252" s="4" t="s">
        <v>126</v>
      </c>
      <c r="B252" s="22" t="str">
        <f t="shared" si="189"/>
        <v>COM_PROJ</v>
      </c>
      <c r="C252" s="23" t="str">
        <f t="shared" si="190"/>
        <v>-</v>
      </c>
      <c r="D252" s="22" t="str">
        <f>COM!B166</f>
        <v>CER</v>
      </c>
      <c r="E252" s="23" t="str">
        <f t="shared" si="191"/>
        <v>-</v>
      </c>
      <c r="F252" s="23" t="str">
        <f t="shared" si="191"/>
        <v>-</v>
      </c>
      <c r="G252" s="23" t="str">
        <f t="shared" si="191"/>
        <v>-</v>
      </c>
      <c r="H252" s="23" t="str">
        <f t="shared" si="191"/>
        <v>-</v>
      </c>
      <c r="I252" s="22">
        <f t="shared" si="192"/>
        <v>0</v>
      </c>
      <c r="J252" s="10">
        <f t="shared" si="193"/>
        <v>29.566390373747055</v>
      </c>
      <c r="K252" s="10">
        <f t="shared" si="193"/>
        <v>28.753100588237238</v>
      </c>
      <c r="L252" s="10">
        <f t="shared" si="193"/>
        <v>28.002928236608874</v>
      </c>
      <c r="M252" s="10">
        <f t="shared" si="193"/>
        <v>27.188320374423199</v>
      </c>
      <c r="N252" s="10">
        <f t="shared" si="193"/>
        <v>26.339566921637534</v>
      </c>
      <c r="O252" s="10">
        <f t="shared" si="193"/>
        <v>25.463499211305457</v>
      </c>
      <c r="P252" s="10">
        <f t="shared" si="193"/>
        <v>25.287785426955427</v>
      </c>
      <c r="Q252" s="10">
        <f t="shared" si="193"/>
        <v>25.111880671749745</v>
      </c>
      <c r="R252" s="10">
        <f t="shared" si="193"/>
        <v>24.935788544025488</v>
      </c>
      <c r="S252" s="10">
        <f t="shared" si="193"/>
        <v>24.759512532099237</v>
      </c>
      <c r="T252" s="10">
        <f t="shared" si="194"/>
        <v>24.583056018891309</v>
      </c>
      <c r="U252" s="10">
        <f t="shared" si="194"/>
        <v>24.416248779833445</v>
      </c>
      <c r="V252" s="10">
        <f t="shared" si="194"/>
        <v>24.249119599709729</v>
      </c>
      <c r="W252" s="10">
        <f t="shared" si="194"/>
        <v>24.081676210483153</v>
      </c>
      <c r="X252" s="10">
        <f t="shared" si="194"/>
        <v>23.913926043774492</v>
      </c>
      <c r="Y252" s="10">
        <f t="shared" si="194"/>
        <v>23.745876246848852</v>
      </c>
      <c r="Z252" s="10">
        <f t="shared" si="194"/>
        <v>23.590196417072963</v>
      </c>
      <c r="AA252" s="10">
        <f t="shared" si="194"/>
        <v>23.433991606196109</v>
      </c>
      <c r="AB252" s="10">
        <f t="shared" si="194"/>
        <v>23.277277549435077</v>
      </c>
      <c r="AC252" s="10">
        <f t="shared" si="194"/>
        <v>23.120069222062217</v>
      </c>
      <c r="AD252" s="10">
        <f t="shared" si="195"/>
        <v>22.962380889515643</v>
      </c>
      <c r="AE252" s="10">
        <f t="shared" si="195"/>
        <v>22.811030054000383</v>
      </c>
      <c r="AF252" s="10">
        <f t="shared" si="195"/>
        <v>22.659081826377555</v>
      </c>
      <c r="AG252" s="10">
        <f t="shared" si="195"/>
        <v>22.50655488152756</v>
      </c>
      <c r="AH252" s="10">
        <f t="shared" si="195"/>
        <v>22.353466954425897</v>
      </c>
      <c r="AI252" s="10">
        <f t="shared" si="195"/>
        <v>22.199834904679761</v>
      </c>
      <c r="AJ252" s="10">
        <f t="shared" si="195"/>
        <v>22.052446094129813</v>
      </c>
      <c r="AK252" s="10">
        <f t="shared" si="195"/>
        <v>21.904396425921025</v>
      </c>
      <c r="AL252" s="10">
        <f t="shared" si="195"/>
        <v>21.755707133804485</v>
      </c>
      <c r="AM252" s="10">
        <f t="shared" si="195"/>
        <v>21.008845735658184</v>
      </c>
      <c r="AN252" s="10">
        <f t="shared" si="195"/>
        <v>20.252931599277947</v>
      </c>
      <c r="AO252" s="6">
        <f t="shared" si="196"/>
        <v>20.252931599277947</v>
      </c>
      <c r="AP252" s="6">
        <f t="shared" si="196"/>
        <v>20.252931599277947</v>
      </c>
      <c r="AQ252" s="6"/>
      <c r="AR252" s="6"/>
      <c r="AS252" s="6"/>
      <c r="AT252" s="6"/>
      <c r="AU252" s="6"/>
      <c r="AV252" s="6"/>
    </row>
    <row r="253" spans="1:48" s="4" customFormat="1">
      <c r="A253" s="4" t="s">
        <v>126</v>
      </c>
      <c r="B253" s="22" t="str">
        <f t="shared" si="189"/>
        <v>COM_PROJ</v>
      </c>
      <c r="C253" s="23" t="str">
        <f t="shared" si="190"/>
        <v>-</v>
      </c>
      <c r="D253" s="22" t="str">
        <f>COM!B167</f>
        <v>CEW</v>
      </c>
      <c r="E253" s="23" t="str">
        <f t="shared" si="191"/>
        <v>-</v>
      </c>
      <c r="F253" s="23" t="str">
        <f t="shared" si="191"/>
        <v>-</v>
      </c>
      <c r="G253" s="23" t="str">
        <f t="shared" si="191"/>
        <v>-</v>
      </c>
      <c r="H253" s="23" t="str">
        <f t="shared" si="191"/>
        <v>-</v>
      </c>
      <c r="I253" s="22">
        <f t="shared" si="192"/>
        <v>0</v>
      </c>
      <c r="J253" s="10">
        <f t="shared" si="193"/>
        <v>9.6831090230750316</v>
      </c>
      <c r="K253" s="10">
        <f t="shared" si="193"/>
        <v>10.363908171049657</v>
      </c>
      <c r="L253" s="10">
        <f t="shared" si="193"/>
        <v>11.087868256773234</v>
      </c>
      <c r="M253" s="10">
        <f t="shared" si="193"/>
        <v>11.809067510645612</v>
      </c>
      <c r="N253" s="10">
        <f t="shared" si="193"/>
        <v>12.537074237974865</v>
      </c>
      <c r="O253" s="10">
        <f t="shared" si="193"/>
        <v>13.273861719969343</v>
      </c>
      <c r="P253" s="10">
        <f t="shared" si="193"/>
        <v>13.182263921237922</v>
      </c>
      <c r="Q253" s="10">
        <f t="shared" si="193"/>
        <v>13.090566571352536</v>
      </c>
      <c r="R253" s="10">
        <f t="shared" si="193"/>
        <v>12.998771546089509</v>
      </c>
      <c r="S253" s="10">
        <f t="shared" si="193"/>
        <v>12.906880663872588</v>
      </c>
      <c r="T253" s="10">
        <f t="shared" si="194"/>
        <v>12.814895688183542</v>
      </c>
      <c r="U253" s="10">
        <f t="shared" si="194"/>
        <v>12.727940780424403</v>
      </c>
      <c r="V253" s="10">
        <f t="shared" si="194"/>
        <v>12.64081804808017</v>
      </c>
      <c r="W253" s="10">
        <f t="shared" si="194"/>
        <v>12.553531521744086</v>
      </c>
      <c r="X253" s="10">
        <f t="shared" si="194"/>
        <v>12.466085075444045</v>
      </c>
      <c r="Y253" s="10">
        <f t="shared" si="194"/>
        <v>12.378482434976252</v>
      </c>
      <c r="Z253" s="10">
        <f t="shared" si="194"/>
        <v>12.297328131874185</v>
      </c>
      <c r="AA253" s="10">
        <f t="shared" si="194"/>
        <v>12.215900161493245</v>
      </c>
      <c r="AB253" s="10">
        <f t="shared" si="194"/>
        <v>12.134206726441011</v>
      </c>
      <c r="AC253" s="10">
        <f t="shared" si="194"/>
        <v>12.052255633173807</v>
      </c>
      <c r="AD253" s="10">
        <f t="shared" si="195"/>
        <v>11.970054318118631</v>
      </c>
      <c r="AE253" s="10">
        <f t="shared" si="195"/>
        <v>11.891156675451381</v>
      </c>
      <c r="AF253" s="10">
        <f t="shared" si="195"/>
        <v>11.811947618388073</v>
      </c>
      <c r="AG253" s="10">
        <f t="shared" si="195"/>
        <v>11.732436881952864</v>
      </c>
      <c r="AH253" s="10">
        <f t="shared" si="195"/>
        <v>11.652633711207107</v>
      </c>
      <c r="AI253" s="10">
        <f t="shared" si="195"/>
        <v>11.572546894891609</v>
      </c>
      <c r="AJ253" s="10">
        <f t="shared" si="195"/>
        <v>11.495714615318576</v>
      </c>
      <c r="AK253" s="10">
        <f t="shared" si="195"/>
        <v>11.418537837406674</v>
      </c>
      <c r="AL253" s="10">
        <f t="shared" si="195"/>
        <v>11.341027630093189</v>
      </c>
      <c r="AM253" s="10">
        <f t="shared" si="195"/>
        <v>10.951696421498911</v>
      </c>
      <c r="AN253" s="10">
        <f t="shared" si="195"/>
        <v>10.557646113046946</v>
      </c>
      <c r="AO253" s="6">
        <f t="shared" si="196"/>
        <v>10.557646113046946</v>
      </c>
      <c r="AP253" s="6">
        <f t="shared" si="196"/>
        <v>10.557646113046946</v>
      </c>
      <c r="AQ253" s="6"/>
      <c r="AR253" s="6"/>
      <c r="AS253" s="6"/>
      <c r="AT253" s="6"/>
      <c r="AU253" s="6"/>
      <c r="AV253" s="6"/>
    </row>
    <row r="254" spans="1:48" s="4" customFormat="1">
      <c r="A254" s="4" t="s">
        <v>126</v>
      </c>
      <c r="B254" s="22" t="str">
        <f t="shared" si="189"/>
        <v>COM_PROJ</v>
      </c>
      <c r="C254" s="23" t="str">
        <f t="shared" si="190"/>
        <v>-</v>
      </c>
      <c r="D254" s="22" t="str">
        <f>COM!B168</f>
        <v>CEG</v>
      </c>
      <c r="E254" s="23" t="str">
        <f t="shared" si="191"/>
        <v>-</v>
      </c>
      <c r="F254" s="23" t="str">
        <f t="shared" si="191"/>
        <v>-</v>
      </c>
      <c r="G254" s="23" t="str">
        <f t="shared" si="191"/>
        <v>-</v>
      </c>
      <c r="H254" s="23" t="str">
        <f t="shared" si="191"/>
        <v>-</v>
      </c>
      <c r="I254" s="22">
        <f t="shared" si="192"/>
        <v>0</v>
      </c>
      <c r="J254" s="10">
        <f t="shared" si="193"/>
        <v>10.30055287377321</v>
      </c>
      <c r="K254" s="10">
        <f t="shared" si="193"/>
        <v>10.017213097376901</v>
      </c>
      <c r="L254" s="10">
        <f t="shared" si="193"/>
        <v>9.7558626290000774</v>
      </c>
      <c r="M254" s="10">
        <f t="shared" si="193"/>
        <v>9.4720636515203847</v>
      </c>
      <c r="N254" s="10">
        <f t="shared" si="193"/>
        <v>9.1763687862797756</v>
      </c>
      <c r="O254" s="10">
        <f t="shared" si="193"/>
        <v>8.8711579824850144</v>
      </c>
      <c r="P254" s="10">
        <f t="shared" si="193"/>
        <v>8.9199221078695032</v>
      </c>
      <c r="Q254" s="10">
        <f t="shared" si="193"/>
        <v>8.9683535742159428</v>
      </c>
      <c r="R254" s="10">
        <f t="shared" si="193"/>
        <v>9.0164586495978138</v>
      </c>
      <c r="S254" s="10">
        <f t="shared" si="193"/>
        <v>9.0642434104398664</v>
      </c>
      <c r="T254" s="10">
        <f t="shared" si="194"/>
        <v>9.1117137495733171</v>
      </c>
      <c r="U254" s="10">
        <f t="shared" si="194"/>
        <v>9.1759925082195775</v>
      </c>
      <c r="V254" s="10">
        <f t="shared" si="194"/>
        <v>9.2397104660833946</v>
      </c>
      <c r="W254" s="10">
        <f t="shared" si="194"/>
        <v>9.3028810917506846</v>
      </c>
      <c r="X254" s="10">
        <f t="shared" si="194"/>
        <v>9.3655173306303396</v>
      </c>
      <c r="Y254" s="10">
        <f t="shared" si="194"/>
        <v>9.427631632801873</v>
      </c>
      <c r="Z254" s="10">
        <f t="shared" si="194"/>
        <v>9.5112936279893798</v>
      </c>
      <c r="AA254" s="10">
        <f t="shared" si="194"/>
        <v>9.5940411396163654</v>
      </c>
      <c r="AB254" s="10">
        <f t="shared" si="194"/>
        <v>9.6759015774258383</v>
      </c>
      <c r="AC254" s="10">
        <f t="shared" si="194"/>
        <v>9.7569010273861547</v>
      </c>
      <c r="AD254" s="10">
        <f t="shared" si="195"/>
        <v>9.8370643389797188</v>
      </c>
      <c r="AE254" s="10">
        <f t="shared" si="195"/>
        <v>9.9282671657851989</v>
      </c>
      <c r="AF254" s="10">
        <f t="shared" si="195"/>
        <v>10.018429373679714</v>
      </c>
      <c r="AG254" s="10">
        <f t="shared" si="195"/>
        <v>10.107583493112621</v>
      </c>
      <c r="AH254" s="10">
        <f t="shared" si="195"/>
        <v>10.19576041727896</v>
      </c>
      <c r="AI254" s="10">
        <f t="shared" si="195"/>
        <v>10.282989514538064</v>
      </c>
      <c r="AJ254" s="10">
        <f t="shared" si="195"/>
        <v>10.381093935878171</v>
      </c>
      <c r="AK254" s="10">
        <f t="shared" si="195"/>
        <v>10.478047185368929</v>
      </c>
      <c r="AL254" s="10">
        <f t="shared" si="195"/>
        <v>10.5738862508491</v>
      </c>
      <c r="AM254" s="10">
        <f t="shared" si="195"/>
        <v>11.047132975040372</v>
      </c>
      <c r="AN254" s="10">
        <f t="shared" si="195"/>
        <v>11.504610407198978</v>
      </c>
      <c r="AO254" s="6">
        <f t="shared" si="196"/>
        <v>11.504610407198978</v>
      </c>
      <c r="AP254" s="6">
        <f t="shared" si="196"/>
        <v>11.504610407198978</v>
      </c>
      <c r="AQ254" s="6"/>
      <c r="AR254" s="6"/>
      <c r="AS254" s="6"/>
      <c r="AT254" s="6"/>
      <c r="AU254" s="6"/>
      <c r="AV254" s="6"/>
    </row>
    <row r="255" spans="1:48" s="4" customFormat="1">
      <c r="B255" s="22" t="str">
        <f t="shared" si="189"/>
        <v>COM_PROJ</v>
      </c>
      <c r="C255" s="23" t="str">
        <f t="shared" si="190"/>
        <v>-</v>
      </c>
      <c r="D255" s="22" t="str">
        <f>COM!B169</f>
        <v>CET</v>
      </c>
      <c r="E255" s="23" t="str">
        <f t="shared" si="191"/>
        <v>-</v>
      </c>
      <c r="F255" s="23" t="str">
        <f t="shared" si="191"/>
        <v>-</v>
      </c>
      <c r="G255" s="23" t="str">
        <f t="shared" si="191"/>
        <v>-</v>
      </c>
      <c r="H255" s="23" t="str">
        <f t="shared" si="191"/>
        <v>-</v>
      </c>
      <c r="I255" s="22">
        <f t="shared" si="192"/>
        <v>0</v>
      </c>
      <c r="J255" s="10">
        <f t="shared" si="193"/>
        <v>3.5593512487513528</v>
      </c>
      <c r="K255" s="10">
        <f t="shared" si="193"/>
        <v>3.4614433209638125</v>
      </c>
      <c r="L255" s="10">
        <f t="shared" si="193"/>
        <v>3.3711337883223824</v>
      </c>
      <c r="M255" s="10">
        <f t="shared" si="193"/>
        <v>3.2730671838143199</v>
      </c>
      <c r="N255" s="10">
        <f t="shared" si="193"/>
        <v>3.1708899608301726</v>
      </c>
      <c r="O255" s="10">
        <f t="shared" si="193"/>
        <v>3.0654245097100388</v>
      </c>
      <c r="P255" s="10">
        <f t="shared" si="193"/>
        <v>3.0822749305280785</v>
      </c>
      <c r="Q255" s="10">
        <f t="shared" si="193"/>
        <v>3.0990104011704336</v>
      </c>
      <c r="R255" s="10">
        <f t="shared" si="193"/>
        <v>3.1156330875669775</v>
      </c>
      <c r="S255" s="10">
        <f t="shared" si="193"/>
        <v>3.1321450894234504</v>
      </c>
      <c r="T255" s="10">
        <f t="shared" si="194"/>
        <v>3.1485484430049366</v>
      </c>
      <c r="U255" s="10">
        <f t="shared" si="194"/>
        <v>3.1707599381216975</v>
      </c>
      <c r="V255" s="10">
        <f t="shared" si="194"/>
        <v>3.1927776487892396</v>
      </c>
      <c r="W255" s="10">
        <f t="shared" si="194"/>
        <v>3.2146062290711557</v>
      </c>
      <c r="X255" s="10">
        <f t="shared" si="194"/>
        <v>3.2362501522474587</v>
      </c>
      <c r="Y255" s="10">
        <f t="shared" si="194"/>
        <v>3.2577137204373252</v>
      </c>
      <c r="Z255" s="10">
        <f t="shared" si="194"/>
        <v>3.2866230839144919</v>
      </c>
      <c r="AA255" s="10">
        <f t="shared" si="194"/>
        <v>3.3152164480231785</v>
      </c>
      <c r="AB255" s="10">
        <f t="shared" si="194"/>
        <v>3.3435032841873187</v>
      </c>
      <c r="AC255" s="10">
        <f t="shared" si="194"/>
        <v>3.3714926064011288</v>
      </c>
      <c r="AD255" s="10">
        <f t="shared" si="195"/>
        <v>3.3991930013916818</v>
      </c>
      <c r="AE255" s="10">
        <f t="shared" si="195"/>
        <v>3.4307080957228102</v>
      </c>
      <c r="AF255" s="10">
        <f t="shared" si="195"/>
        <v>3.4618636046738516</v>
      </c>
      <c r="AG255" s="10">
        <f t="shared" si="195"/>
        <v>3.4926707691264336</v>
      </c>
      <c r="AH255" s="10">
        <f t="shared" si="195"/>
        <v>3.5231402642097152</v>
      </c>
      <c r="AI255" s="10">
        <f t="shared" si="195"/>
        <v>3.5532822381465876</v>
      </c>
      <c r="AJ255" s="10">
        <f t="shared" si="195"/>
        <v>3.5871821752552076</v>
      </c>
      <c r="AK255" s="10">
        <f t="shared" si="195"/>
        <v>3.6206843254673666</v>
      </c>
      <c r="AL255" s="10">
        <f t="shared" si="195"/>
        <v>3.6538014699135219</v>
      </c>
      <c r="AM255" s="10">
        <f t="shared" si="195"/>
        <v>3.8173316550753849</v>
      </c>
      <c r="AN255" s="10">
        <f t="shared" si="195"/>
        <v>3.9754127687188334</v>
      </c>
      <c r="AO255" s="6">
        <f t="shared" si="196"/>
        <v>3.9754127687188334</v>
      </c>
      <c r="AP255" s="6">
        <f t="shared" si="196"/>
        <v>3.9754127687188334</v>
      </c>
      <c r="AQ255" s="6"/>
      <c r="AR255" s="6"/>
      <c r="AS255" s="6"/>
      <c r="AT255" s="6"/>
      <c r="AU255" s="6"/>
      <c r="AV255" s="6"/>
    </row>
    <row r="256" spans="1:48" s="4" customFormat="1">
      <c r="B256" s="22" t="str">
        <f t="shared" si="189"/>
        <v>COM_PROJ</v>
      </c>
      <c r="C256" s="23" t="str">
        <f t="shared" si="190"/>
        <v>-</v>
      </c>
      <c r="D256" s="22" t="str">
        <f>COM!B170</f>
        <v>CEO</v>
      </c>
      <c r="E256" s="23" t="str">
        <f t="shared" si="191"/>
        <v>-</v>
      </c>
      <c r="F256" s="23" t="str">
        <f t="shared" si="191"/>
        <v>-</v>
      </c>
      <c r="G256" s="23" t="str">
        <f t="shared" si="191"/>
        <v>-</v>
      </c>
      <c r="H256" s="23" t="str">
        <f t="shared" si="191"/>
        <v>-</v>
      </c>
      <c r="I256" s="22">
        <f t="shared" si="192"/>
        <v>0</v>
      </c>
      <c r="J256" s="10">
        <f t="shared" si="193"/>
        <v>18.760184357078931</v>
      </c>
      <c r="K256" s="10">
        <f t="shared" si="193"/>
        <v>18.405836512295583</v>
      </c>
      <c r="L256" s="10">
        <f t="shared" si="193"/>
        <v>18.095376663240405</v>
      </c>
      <c r="M256" s="10">
        <f t="shared" si="193"/>
        <v>17.747163061802897</v>
      </c>
      <c r="N256" s="10">
        <f t="shared" si="193"/>
        <v>17.380354928482756</v>
      </c>
      <c r="O256" s="10">
        <f t="shared" si="193"/>
        <v>16.999241745794041</v>
      </c>
      <c r="P256" s="10">
        <f t="shared" si="193"/>
        <v>16.881936536739811</v>
      </c>
      <c r="Q256" s="10">
        <f t="shared" si="193"/>
        <v>16.764503836969759</v>
      </c>
      <c r="R256" s="10">
        <f t="shared" si="193"/>
        <v>16.646946048706834</v>
      </c>
      <c r="S256" s="10">
        <f t="shared" si="193"/>
        <v>16.529265500725103</v>
      </c>
      <c r="T256" s="10">
        <f t="shared" si="194"/>
        <v>16.411464451436885</v>
      </c>
      <c r="U256" s="10">
        <f t="shared" si="194"/>
        <v>16.300105185447467</v>
      </c>
      <c r="V256" s="10">
        <f t="shared" si="194"/>
        <v>16.188530994008843</v>
      </c>
      <c r="W256" s="10">
        <f t="shared" si="194"/>
        <v>16.07674703892172</v>
      </c>
      <c r="X256" s="10">
        <f t="shared" si="194"/>
        <v>15.96475828148057</v>
      </c>
      <c r="Y256" s="10">
        <f t="shared" si="194"/>
        <v>15.852569493146159</v>
      </c>
      <c r="Z256" s="10">
        <f t="shared" si="194"/>
        <v>15.748638802421238</v>
      </c>
      <c r="AA256" s="10">
        <f t="shared" si="194"/>
        <v>15.644357638237304</v>
      </c>
      <c r="AB256" s="10">
        <f t="shared" si="194"/>
        <v>15.539736505307463</v>
      </c>
      <c r="AC256" s="10">
        <f t="shared" si="194"/>
        <v>15.434785401011606</v>
      </c>
      <c r="AD256" s="10">
        <f t="shared" si="195"/>
        <v>15.329513848849592</v>
      </c>
      <c r="AE256" s="10">
        <f t="shared" si="195"/>
        <v>15.228473162335874</v>
      </c>
      <c r="AF256" s="10">
        <f t="shared" si="195"/>
        <v>15.127033661316371</v>
      </c>
      <c r="AG256" s="10">
        <f t="shared" si="195"/>
        <v>15.025207813001646</v>
      </c>
      <c r="AH256" s="10">
        <f t="shared" si="195"/>
        <v>14.923007457128787</v>
      </c>
      <c r="AI256" s="10">
        <f t="shared" si="195"/>
        <v>14.820443849045541</v>
      </c>
      <c r="AJ256" s="10">
        <f t="shared" si="195"/>
        <v>14.722048180784395</v>
      </c>
      <c r="AK256" s="10">
        <f t="shared" si="195"/>
        <v>14.623211328889804</v>
      </c>
      <c r="AL256" s="10">
        <f t="shared" si="195"/>
        <v>14.523947468855287</v>
      </c>
      <c r="AM256" s="10">
        <f t="shared" si="195"/>
        <v>14.025348381890293</v>
      </c>
      <c r="AN256" s="10">
        <f t="shared" si="195"/>
        <v>13.520705754545286</v>
      </c>
      <c r="AO256" s="6">
        <f t="shared" si="196"/>
        <v>13.520705754545286</v>
      </c>
      <c r="AP256" s="6">
        <f t="shared" si="196"/>
        <v>13.520705754545286</v>
      </c>
      <c r="AQ256" s="6"/>
      <c r="AR256" s="6"/>
      <c r="AS256" s="6"/>
      <c r="AT256" s="6"/>
      <c r="AU256" s="6"/>
      <c r="AV256" s="6"/>
    </row>
    <row r="257" spans="1:48" s="4" customFormat="1">
      <c r="A257" s="4" t="s">
        <v>17</v>
      </c>
      <c r="B257" s="22"/>
      <c r="C257" s="23" t="str">
        <f t="shared" si="190"/>
        <v/>
      </c>
      <c r="D257" s="22"/>
      <c r="E257" s="23" t="str">
        <f t="shared" si="191"/>
        <v/>
      </c>
      <c r="F257" s="23" t="str">
        <f t="shared" si="191"/>
        <v/>
      </c>
      <c r="G257" s="23"/>
      <c r="H257" s="23" t="str">
        <f t="shared" si="191"/>
        <v/>
      </c>
      <c r="I257" s="22" t="str">
        <f t="shared" si="192"/>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6">
        <f t="shared" si="196"/>
        <v>0</v>
      </c>
      <c r="AP257" s="6">
        <f t="shared" si="196"/>
        <v>0</v>
      </c>
      <c r="AQ257" s="6"/>
      <c r="AR257" s="6"/>
      <c r="AS257" s="6"/>
      <c r="AT257" s="6"/>
      <c r="AU257" s="6"/>
      <c r="AV257" s="6"/>
    </row>
    <row r="258" spans="1:48" s="269" customFormat="1">
      <c r="B258" s="270" t="str">
        <f t="shared" ref="B258:B266" si="197">IF(A258="*","","COM_PROJ")</f>
        <v>COM_PROJ</v>
      </c>
      <c r="C258" s="270" t="str">
        <f t="shared" si="190"/>
        <v>-</v>
      </c>
      <c r="D258" s="270" t="str">
        <f>COM!B174</f>
        <v>CNC</v>
      </c>
      <c r="E258" s="270" t="str">
        <f t="shared" si="191"/>
        <v>-</v>
      </c>
      <c r="F258" s="270" t="str">
        <f t="shared" si="191"/>
        <v>-</v>
      </c>
      <c r="G258" s="270" t="str">
        <f t="shared" si="191"/>
        <v>-</v>
      </c>
      <c r="H258" s="270" t="str">
        <f t="shared" si="191"/>
        <v>-</v>
      </c>
      <c r="I258" s="270">
        <f t="shared" si="192"/>
        <v>0</v>
      </c>
      <c r="J258" s="271">
        <f t="shared" ref="J258:S266" si="198">INDEX($J$220:$AV$228,MATCH($D258,$B$220:$B$228,0),MATCH(J$247,$J$104:$AV$104,0))</f>
        <v>0</v>
      </c>
      <c r="K258" s="271">
        <f t="shared" si="198"/>
        <v>0</v>
      </c>
      <c r="L258" s="271">
        <f t="shared" si="198"/>
        <v>0</v>
      </c>
      <c r="M258" s="271">
        <f t="shared" si="198"/>
        <v>0</v>
      </c>
      <c r="N258" s="271">
        <f t="shared" si="198"/>
        <v>0</v>
      </c>
      <c r="O258" s="271">
        <f t="shared" si="198"/>
        <v>0</v>
      </c>
      <c r="P258" s="271">
        <f t="shared" si="198"/>
        <v>1.4912179058134039</v>
      </c>
      <c r="Q258" s="271">
        <f t="shared" si="198"/>
        <v>2.9788274132314947</v>
      </c>
      <c r="R258" s="271">
        <f t="shared" si="198"/>
        <v>4.4628965129105538</v>
      </c>
      <c r="S258" s="271">
        <f t="shared" si="198"/>
        <v>5.9434911166665101</v>
      </c>
      <c r="T258" s="271">
        <f t="shared" ref="T258:AC266" si="199">INDEX($J$220:$AV$228,MATCH($D258,$B$220:$B$228,0),MATCH(T$247,$J$104:$AV$104,0))</f>
        <v>7.4206751448510868</v>
      </c>
      <c r="U258" s="271">
        <f t="shared" si="199"/>
        <v>9.0801824141331462</v>
      </c>
      <c r="V258" s="271">
        <f t="shared" si="199"/>
        <v>10.733606600101652</v>
      </c>
      <c r="W258" s="271">
        <f t="shared" si="199"/>
        <v>12.381093798362846</v>
      </c>
      <c r="X258" s="271">
        <f t="shared" si="199"/>
        <v>14.022784429549574</v>
      </c>
      <c r="Y258" s="271">
        <f t="shared" si="199"/>
        <v>15.658813541388783</v>
      </c>
      <c r="Z258" s="271">
        <f t="shared" si="199"/>
        <v>17.528573446646845</v>
      </c>
      <c r="AA258" s="271">
        <f t="shared" si="199"/>
        <v>19.388413822792849</v>
      </c>
      <c r="AB258" s="271">
        <f t="shared" si="199"/>
        <v>21.238631987083792</v>
      </c>
      <c r="AC258" s="271">
        <f t="shared" si="199"/>
        <v>23.061102108505345</v>
      </c>
      <c r="AD258" s="271">
        <f t="shared" ref="AD258:AN266" si="200">INDEX($J$220:$AV$228,MATCH($D258,$B$220:$B$228,0),MATCH(AD$247,$J$104:$AV$104,0))</f>
        <v>24.874593219000431</v>
      </c>
      <c r="AE258" s="271">
        <f t="shared" si="200"/>
        <v>26.806633999803712</v>
      </c>
      <c r="AF258" s="271">
        <f t="shared" si="200"/>
        <v>28.72749992134522</v>
      </c>
      <c r="AG258" s="271">
        <f t="shared" si="200"/>
        <v>30.637540317266172</v>
      </c>
      <c r="AH258" s="271">
        <f t="shared" si="200"/>
        <v>32.537086939280002</v>
      </c>
      <c r="AI258" s="271">
        <f t="shared" si="200"/>
        <v>34.426455164398206</v>
      </c>
      <c r="AJ258" s="271">
        <f t="shared" si="200"/>
        <v>36.432609866055316</v>
      </c>
      <c r="AK258" s="271">
        <f t="shared" si="200"/>
        <v>38.426402517333557</v>
      </c>
      <c r="AL258" s="271">
        <f t="shared" si="200"/>
        <v>40.408230318291643</v>
      </c>
      <c r="AM258" s="271">
        <f>INDEX($J$220:$AV$228,MATCH($D258,$B$220:$B$228,0),MATCH(AM$247,$J$104:$AV$104,0))</f>
        <v>50.056584079287553</v>
      </c>
      <c r="AN258" s="271">
        <f t="shared" si="200"/>
        <v>59.538983498188863</v>
      </c>
      <c r="AO258" s="272">
        <f t="shared" si="196"/>
        <v>59.538983498188863</v>
      </c>
      <c r="AP258" s="272">
        <f t="shared" si="196"/>
        <v>59.538983498188863</v>
      </c>
      <c r="AQ258" s="272"/>
      <c r="AR258" s="272"/>
      <c r="AS258" s="272"/>
      <c r="AT258" s="272"/>
      <c r="AU258" s="272"/>
      <c r="AV258" s="272"/>
    </row>
    <row r="259" spans="1:48" s="4" customFormat="1">
      <c r="B259" s="22" t="str">
        <f t="shared" si="197"/>
        <v>COM_PROJ</v>
      </c>
      <c r="C259" s="23" t="str">
        <f t="shared" si="190"/>
        <v>-</v>
      </c>
      <c r="D259" s="22" t="str">
        <f>COM!B175</f>
        <v>CNH</v>
      </c>
      <c r="E259" s="23" t="str">
        <f t="shared" si="191"/>
        <v>-</v>
      </c>
      <c r="F259" s="23" t="str">
        <f t="shared" si="191"/>
        <v>-</v>
      </c>
      <c r="G259" s="23" t="str">
        <f t="shared" si="191"/>
        <v>-</v>
      </c>
      <c r="H259" s="23" t="str">
        <f t="shared" si="191"/>
        <v>-</v>
      </c>
      <c r="I259" s="22">
        <f t="shared" si="192"/>
        <v>0</v>
      </c>
      <c r="J259" s="10">
        <f t="shared" si="198"/>
        <v>0</v>
      </c>
      <c r="K259" s="10">
        <f t="shared" si="198"/>
        <v>0</v>
      </c>
      <c r="L259" s="10">
        <f t="shared" si="198"/>
        <v>0</v>
      </c>
      <c r="M259" s="10">
        <f t="shared" si="198"/>
        <v>0</v>
      </c>
      <c r="N259" s="10">
        <f t="shared" si="198"/>
        <v>0</v>
      </c>
      <c r="O259" s="10">
        <f t="shared" si="198"/>
        <v>0</v>
      </c>
      <c r="P259" s="10">
        <f t="shared" si="198"/>
        <v>0.14221199111343469</v>
      </c>
      <c r="Q259" s="10">
        <f t="shared" si="198"/>
        <v>0.28407986248519546</v>
      </c>
      <c r="R259" s="10">
        <f t="shared" si="198"/>
        <v>0.42561009813520273</v>
      </c>
      <c r="S259" s="10">
        <f t="shared" si="198"/>
        <v>0.56680898383198464</v>
      </c>
      <c r="T259" s="10">
        <f t="shared" si="199"/>
        <v>0.70768261542542077</v>
      </c>
      <c r="U259" s="10">
        <f t="shared" si="199"/>
        <v>0.86594374688835762</v>
      </c>
      <c r="V259" s="10">
        <f t="shared" si="199"/>
        <v>1.0236247569708061</v>
      </c>
      <c r="W259" s="10">
        <f t="shared" si="199"/>
        <v>1.1807395782757586</v>
      </c>
      <c r="X259" s="10">
        <f t="shared" si="199"/>
        <v>1.3373016022047752</v>
      </c>
      <c r="Y259" s="10">
        <f t="shared" si="199"/>
        <v>1.4933237077650547</v>
      </c>
      <c r="Z259" s="10">
        <f t="shared" si="199"/>
        <v>1.6716358632147816</v>
      </c>
      <c r="AA259" s="10">
        <f t="shared" si="199"/>
        <v>1.8490020294965714</v>
      </c>
      <c r="AB259" s="10">
        <f t="shared" si="199"/>
        <v>2.0254505606685034</v>
      </c>
      <c r="AC259" s="10">
        <f t="shared" si="199"/>
        <v>2.1992528626001788</v>
      </c>
      <c r="AD259" s="10">
        <f t="shared" si="200"/>
        <v>2.3721988691392735</v>
      </c>
      <c r="AE259" s="10">
        <f t="shared" si="200"/>
        <v>2.5564505236287083</v>
      </c>
      <c r="AF259" s="10">
        <f t="shared" si="200"/>
        <v>2.7396364727106142</v>
      </c>
      <c r="AG259" s="10">
        <f t="shared" si="200"/>
        <v>2.921790031055159</v>
      </c>
      <c r="AH259" s="10">
        <f t="shared" si="200"/>
        <v>3.1029428366084391</v>
      </c>
      <c r="AI259" s="10">
        <f t="shared" si="200"/>
        <v>3.2831249657211896</v>
      </c>
      <c r="AJ259" s="10">
        <f t="shared" si="200"/>
        <v>3.4744445934509924</v>
      </c>
      <c r="AK259" s="10">
        <f t="shared" si="200"/>
        <v>3.6645852977037028</v>
      </c>
      <c r="AL259" s="10">
        <f t="shared" si="200"/>
        <v>3.853584957994447</v>
      </c>
      <c r="AM259" s="10">
        <f t="shared" si="200"/>
        <v>4.773713125694786</v>
      </c>
      <c r="AN259" s="10">
        <f t="shared" si="200"/>
        <v>5.6780148354836513</v>
      </c>
      <c r="AO259" s="6">
        <f t="shared" si="196"/>
        <v>5.6780148354836513</v>
      </c>
      <c r="AP259" s="6">
        <f t="shared" si="196"/>
        <v>5.6780148354836513</v>
      </c>
      <c r="AQ259" s="6"/>
      <c r="AR259" s="6"/>
      <c r="AS259" s="6"/>
      <c r="AT259" s="6"/>
      <c r="AU259" s="6"/>
      <c r="AV259" s="6"/>
    </row>
    <row r="260" spans="1:48" s="4" customFormat="1">
      <c r="B260" s="22" t="str">
        <f t="shared" si="197"/>
        <v>COM_PROJ</v>
      </c>
      <c r="C260" s="23" t="str">
        <f t="shared" si="190"/>
        <v>-</v>
      </c>
      <c r="D260" s="22" t="str">
        <f>COM!B176</f>
        <v>CNK</v>
      </c>
      <c r="E260" s="23" t="str">
        <f t="shared" si="191"/>
        <v>-</v>
      </c>
      <c r="F260" s="23" t="str">
        <f t="shared" si="191"/>
        <v>-</v>
      </c>
      <c r="G260" s="23" t="str">
        <f t="shared" si="191"/>
        <v>-</v>
      </c>
      <c r="H260" s="23" t="str">
        <f t="shared" si="191"/>
        <v>-</v>
      </c>
      <c r="I260" s="22">
        <f t="shared" si="192"/>
        <v>0</v>
      </c>
      <c r="J260" s="10">
        <f t="shared" si="198"/>
        <v>0</v>
      </c>
      <c r="K260" s="10">
        <f t="shared" si="198"/>
        <v>0</v>
      </c>
      <c r="L260" s="10">
        <f t="shared" si="198"/>
        <v>0</v>
      </c>
      <c r="M260" s="10">
        <f t="shared" si="198"/>
        <v>0</v>
      </c>
      <c r="N260" s="10">
        <f t="shared" si="198"/>
        <v>0</v>
      </c>
      <c r="O260" s="10">
        <f t="shared" si="198"/>
        <v>0</v>
      </c>
      <c r="P260" s="10">
        <f t="shared" si="198"/>
        <v>0.1063672851732594</v>
      </c>
      <c r="Q260" s="10">
        <f t="shared" si="198"/>
        <v>0.21247718640575686</v>
      </c>
      <c r="R260" s="10">
        <f t="shared" si="198"/>
        <v>0.31833455341227768</v>
      </c>
      <c r="S260" s="10">
        <f t="shared" si="198"/>
        <v>0.42394408762572017</v>
      </c>
      <c r="T260" s="10">
        <f t="shared" si="199"/>
        <v>0.52931034842956137</v>
      </c>
      <c r="U260" s="10">
        <f t="shared" si="199"/>
        <v>0.64768156853809289</v>
      </c>
      <c r="V260" s="10">
        <f t="shared" si="199"/>
        <v>0.76561888756816809</v>
      </c>
      <c r="W260" s="10">
        <f t="shared" si="199"/>
        <v>0.88313272639318985</v>
      </c>
      <c r="X260" s="10">
        <f t="shared" si="199"/>
        <v>1.0002331010956094</v>
      </c>
      <c r="Y260" s="10">
        <f t="shared" si="199"/>
        <v>1.1169296445131416</v>
      </c>
      <c r="Z260" s="10">
        <f t="shared" si="199"/>
        <v>1.250298003538866</v>
      </c>
      <c r="AA260" s="10">
        <f t="shared" si="199"/>
        <v>1.3829588111210798</v>
      </c>
      <c r="AB260" s="10">
        <f t="shared" si="199"/>
        <v>1.5149332746429156</v>
      </c>
      <c r="AC260" s="10">
        <f t="shared" si="199"/>
        <v>1.6449284942344162</v>
      </c>
      <c r="AD260" s="10">
        <f t="shared" si="200"/>
        <v>1.7742832487322062</v>
      </c>
      <c r="AE260" s="10">
        <f t="shared" si="200"/>
        <v>1.9120940488150913</v>
      </c>
      <c r="AF260" s="10">
        <f t="shared" si="200"/>
        <v>2.0491077558391857</v>
      </c>
      <c r="AG260" s="10">
        <f t="shared" si="200"/>
        <v>2.1853492874713787</v>
      </c>
      <c r="AH260" s="10">
        <f t="shared" si="200"/>
        <v>2.3208423072748365</v>
      </c>
      <c r="AI260" s="10">
        <f t="shared" si="200"/>
        <v>2.4556093108193808</v>
      </c>
      <c r="AJ260" s="10">
        <f t="shared" si="200"/>
        <v>2.5987065928604256</v>
      </c>
      <c r="AK260" s="10">
        <f t="shared" si="200"/>
        <v>2.7409221005257414</v>
      </c>
      <c r="AL260" s="10">
        <f t="shared" si="200"/>
        <v>2.8822841657524307</v>
      </c>
      <c r="AM260" s="10">
        <f t="shared" si="200"/>
        <v>3.5704929057008354</v>
      </c>
      <c r="AN260" s="10">
        <f t="shared" si="200"/>
        <v>4.2468642657716913</v>
      </c>
      <c r="AO260" s="6">
        <f t="shared" si="196"/>
        <v>4.2468642657716913</v>
      </c>
      <c r="AP260" s="6">
        <f t="shared" si="196"/>
        <v>4.2468642657716913</v>
      </c>
      <c r="AQ260" s="6"/>
      <c r="AR260" s="6"/>
      <c r="AS260" s="6"/>
      <c r="AT260" s="6"/>
      <c r="AU260" s="6"/>
      <c r="AV260" s="6"/>
    </row>
    <row r="261" spans="1:48" s="269" customFormat="1">
      <c r="B261" s="270" t="str">
        <f t="shared" si="197"/>
        <v>COM_PROJ</v>
      </c>
      <c r="C261" s="270" t="str">
        <f t="shared" si="190"/>
        <v>-</v>
      </c>
      <c r="D261" s="270" t="str">
        <f>COM!B177</f>
        <v>CNL</v>
      </c>
      <c r="E261" s="270" t="str">
        <f t="shared" si="191"/>
        <v>-</v>
      </c>
      <c r="F261" s="270" t="str">
        <f t="shared" si="191"/>
        <v>-</v>
      </c>
      <c r="G261" s="270" t="str">
        <f t="shared" si="191"/>
        <v>-</v>
      </c>
      <c r="H261" s="270" t="str">
        <f t="shared" si="191"/>
        <v>-</v>
      </c>
      <c r="I261" s="270">
        <f t="shared" si="192"/>
        <v>0</v>
      </c>
      <c r="J261" s="271">
        <f t="shared" si="198"/>
        <v>0</v>
      </c>
      <c r="K261" s="271">
        <f t="shared" si="198"/>
        <v>0</v>
      </c>
      <c r="L261" s="271">
        <f t="shared" si="198"/>
        <v>0</v>
      </c>
      <c r="M261" s="271">
        <f t="shared" si="198"/>
        <v>0</v>
      </c>
      <c r="N261" s="271">
        <f t="shared" si="198"/>
        <v>0</v>
      </c>
      <c r="O261" s="271">
        <f t="shared" si="198"/>
        <v>0</v>
      </c>
      <c r="P261" s="271">
        <f t="shared" si="198"/>
        <v>1.2977039035729891</v>
      </c>
      <c r="Q261" s="271">
        <f t="shared" si="198"/>
        <v>2.5922676673548795</v>
      </c>
      <c r="R261" s="271">
        <f t="shared" si="198"/>
        <v>3.883750458915828</v>
      </c>
      <c r="S261" s="271">
        <f t="shared" si="198"/>
        <v>5.1722096367548778</v>
      </c>
      <c r="T261" s="271">
        <f t="shared" si="199"/>
        <v>6.4577008263373781</v>
      </c>
      <c r="U261" s="271">
        <f t="shared" si="199"/>
        <v>7.9018553345146394</v>
      </c>
      <c r="V261" s="271">
        <f t="shared" si="199"/>
        <v>9.3407161556117035</v>
      </c>
      <c r="W261" s="271">
        <f t="shared" si="199"/>
        <v>10.774410426539808</v>
      </c>
      <c r="X261" s="271">
        <f t="shared" si="199"/>
        <v>12.203060345672958</v>
      </c>
      <c r="Y261" s="271">
        <f t="shared" si="199"/>
        <v>13.626783435716412</v>
      </c>
      <c r="Z261" s="271">
        <f t="shared" si="199"/>
        <v>15.253906284991844</v>
      </c>
      <c r="AA261" s="271">
        <f t="shared" si="199"/>
        <v>16.872396853498557</v>
      </c>
      <c r="AB261" s="271">
        <f t="shared" si="199"/>
        <v>18.482513875901351</v>
      </c>
      <c r="AC261" s="271">
        <f t="shared" si="199"/>
        <v>20.068483693923255</v>
      </c>
      <c r="AD261" s="271">
        <f t="shared" si="200"/>
        <v>21.646639699165632</v>
      </c>
      <c r="AE261" s="271">
        <f t="shared" si="200"/>
        <v>23.327961290957433</v>
      </c>
      <c r="AF261" s="271">
        <f t="shared" si="200"/>
        <v>24.999558174891749</v>
      </c>
      <c r="AG261" s="271">
        <f t="shared" si="200"/>
        <v>26.661734351898353</v>
      </c>
      <c r="AH261" s="271">
        <f t="shared" si="200"/>
        <v>28.31477852257014</v>
      </c>
      <c r="AI261" s="271">
        <f t="shared" si="200"/>
        <v>29.958965137728356</v>
      </c>
      <c r="AJ261" s="271">
        <f t="shared" si="200"/>
        <v>31.70478295373136</v>
      </c>
      <c r="AK261" s="271">
        <f t="shared" si="200"/>
        <v>33.439842931479959</v>
      </c>
      <c r="AL261" s="271">
        <f t="shared" si="200"/>
        <v>35.164490726739594</v>
      </c>
      <c r="AM261" s="271">
        <f t="shared" si="200"/>
        <v>43.5607863250465</v>
      </c>
      <c r="AN261" s="271">
        <f t="shared" si="200"/>
        <v>51.812663326506168</v>
      </c>
      <c r="AO261" s="272">
        <f t="shared" si="196"/>
        <v>51.812663326506168</v>
      </c>
      <c r="AP261" s="272">
        <f t="shared" si="196"/>
        <v>51.812663326506168</v>
      </c>
      <c r="AQ261" s="272"/>
      <c r="AR261" s="272"/>
      <c r="AS261" s="272"/>
      <c r="AT261" s="272"/>
      <c r="AU261" s="272"/>
      <c r="AV261" s="272"/>
    </row>
    <row r="262" spans="1:48" s="4" customFormat="1">
      <c r="B262" s="22" t="str">
        <f t="shared" si="197"/>
        <v>COM_PROJ</v>
      </c>
      <c r="C262" s="23" t="str">
        <f t="shared" si="190"/>
        <v>-</v>
      </c>
      <c r="D262" s="22" t="str">
        <f>COM!B178</f>
        <v>CNR</v>
      </c>
      <c r="E262" s="23" t="str">
        <f t="shared" si="191"/>
        <v>-</v>
      </c>
      <c r="F262" s="23" t="str">
        <f t="shared" si="191"/>
        <v>-</v>
      </c>
      <c r="G262" s="23" t="str">
        <f t="shared" si="191"/>
        <v>-</v>
      </c>
      <c r="H262" s="23" t="str">
        <f t="shared" si="191"/>
        <v>-</v>
      </c>
      <c r="I262" s="22">
        <f t="shared" si="192"/>
        <v>0</v>
      </c>
      <c r="J262" s="10">
        <f t="shared" si="198"/>
        <v>0</v>
      </c>
      <c r="K262" s="10">
        <f t="shared" si="198"/>
        <v>0</v>
      </c>
      <c r="L262" s="10">
        <f t="shared" si="198"/>
        <v>0</v>
      </c>
      <c r="M262" s="10">
        <f t="shared" si="198"/>
        <v>0</v>
      </c>
      <c r="N262" s="10">
        <f t="shared" si="198"/>
        <v>0</v>
      </c>
      <c r="O262" s="10">
        <f t="shared" si="198"/>
        <v>0</v>
      </c>
      <c r="P262" s="10">
        <f t="shared" si="198"/>
        <v>0.31568483105210576</v>
      </c>
      <c r="Q262" s="10">
        <f t="shared" si="198"/>
        <v>0.63060577868157275</v>
      </c>
      <c r="R262" s="10">
        <f t="shared" si="198"/>
        <v>0.94477723623678911</v>
      </c>
      <c r="S262" s="10">
        <f t="shared" si="198"/>
        <v>1.2582131569840045</v>
      </c>
      <c r="T262" s="10">
        <f t="shared" si="199"/>
        <v>1.5709270726045084</v>
      </c>
      <c r="U262" s="10">
        <f t="shared" si="199"/>
        <v>1.9222380848252816</v>
      </c>
      <c r="V262" s="10">
        <f t="shared" si="199"/>
        <v>2.2722613327826098</v>
      </c>
      <c r="W262" s="10">
        <f t="shared" si="199"/>
        <v>2.6210277443285501</v>
      </c>
      <c r="X262" s="10">
        <f t="shared" si="199"/>
        <v>2.9685670459461213</v>
      </c>
      <c r="Y262" s="10">
        <f t="shared" si="199"/>
        <v>3.314907826695781</v>
      </c>
      <c r="Z262" s="10">
        <f t="shared" si="199"/>
        <v>3.7107284760444292</v>
      </c>
      <c r="AA262" s="10">
        <f t="shared" si="199"/>
        <v>4.1044492009892393</v>
      </c>
      <c r="AB262" s="10">
        <f t="shared" si="199"/>
        <v>4.4961329423973249</v>
      </c>
      <c r="AC262" s="10">
        <f t="shared" si="199"/>
        <v>4.8819425347685046</v>
      </c>
      <c r="AD262" s="10">
        <f t="shared" si="200"/>
        <v>5.2658513066517552</v>
      </c>
      <c r="AE262" s="10">
        <f t="shared" si="200"/>
        <v>5.6748565667790309</v>
      </c>
      <c r="AF262" s="10">
        <f t="shared" si="200"/>
        <v>6.0814961541603374</v>
      </c>
      <c r="AG262" s="10">
        <f t="shared" si="200"/>
        <v>6.4858440213220483</v>
      </c>
      <c r="AH262" s="10">
        <f t="shared" si="200"/>
        <v>6.8879703987671634</v>
      </c>
      <c r="AI262" s="10">
        <f t="shared" si="200"/>
        <v>7.2879420505401606</v>
      </c>
      <c r="AJ262" s="10">
        <f t="shared" si="200"/>
        <v>7.7126369295300714</v>
      </c>
      <c r="AK262" s="10">
        <f t="shared" si="200"/>
        <v>8.1347148121909445</v>
      </c>
      <c r="AL262" s="10">
        <f t="shared" si="200"/>
        <v>8.5542597841771535</v>
      </c>
      <c r="AM262" s="10">
        <f t="shared" si="200"/>
        <v>10.596777457212706</v>
      </c>
      <c r="AN262" s="10">
        <f t="shared" si="200"/>
        <v>12.604163263709999</v>
      </c>
      <c r="AO262" s="6">
        <f t="shared" si="196"/>
        <v>12.604163263709999</v>
      </c>
      <c r="AP262" s="6">
        <f t="shared" si="196"/>
        <v>12.604163263709999</v>
      </c>
      <c r="AQ262" s="6"/>
      <c r="AR262" s="6"/>
      <c r="AS262" s="6"/>
      <c r="AT262" s="6"/>
      <c r="AU262" s="6"/>
      <c r="AV262" s="6"/>
    </row>
    <row r="263" spans="1:48" s="4" customFormat="1">
      <c r="B263" s="22" t="str">
        <f t="shared" si="197"/>
        <v>COM_PROJ</v>
      </c>
      <c r="C263" s="23" t="str">
        <f t="shared" si="190"/>
        <v>-</v>
      </c>
      <c r="D263" s="22" t="str">
        <f>COM!B179</f>
        <v>CNW</v>
      </c>
      <c r="E263" s="23" t="str">
        <f t="shared" si="191"/>
        <v>-</v>
      </c>
      <c r="F263" s="23" t="str">
        <f t="shared" si="191"/>
        <v>-</v>
      </c>
      <c r="G263" s="23" t="str">
        <f t="shared" si="191"/>
        <v>-</v>
      </c>
      <c r="H263" s="23" t="str">
        <f t="shared" si="191"/>
        <v>-</v>
      </c>
      <c r="I263" s="22">
        <f t="shared" si="192"/>
        <v>0</v>
      </c>
      <c r="J263" s="10">
        <f t="shared" si="198"/>
        <v>0</v>
      </c>
      <c r="K263" s="10">
        <f t="shared" si="198"/>
        <v>0</v>
      </c>
      <c r="L263" s="10">
        <f t="shared" si="198"/>
        <v>0</v>
      </c>
      <c r="M263" s="10">
        <f t="shared" si="198"/>
        <v>0</v>
      </c>
      <c r="N263" s="10">
        <f t="shared" si="198"/>
        <v>0</v>
      </c>
      <c r="O263" s="10">
        <f t="shared" si="198"/>
        <v>0</v>
      </c>
      <c r="P263" s="10">
        <f t="shared" si="198"/>
        <v>0.16456327387310041</v>
      </c>
      <c r="Q263" s="10">
        <f t="shared" si="198"/>
        <v>0.32872834313032523</v>
      </c>
      <c r="R263" s="10">
        <f t="shared" si="198"/>
        <v>0.49250271087698655</v>
      </c>
      <c r="S263" s="10">
        <f t="shared" si="198"/>
        <v>0.65589365080807804</v>
      </c>
      <c r="T263" s="10">
        <f t="shared" si="199"/>
        <v>0.81890821685066562</v>
      </c>
      <c r="U263" s="10">
        <f t="shared" si="199"/>
        <v>1.002043054612892</v>
      </c>
      <c r="V263" s="10">
        <f t="shared" si="199"/>
        <v>1.1845065940347357</v>
      </c>
      <c r="W263" s="10">
        <f t="shared" si="199"/>
        <v>1.36631495748917</v>
      </c>
      <c r="X263" s="10">
        <f t="shared" si="199"/>
        <v>1.5474836410877764</v>
      </c>
      <c r="Y263" s="10">
        <f t="shared" si="199"/>
        <v>1.7280275480153864</v>
      </c>
      <c r="Z263" s="10">
        <f t="shared" si="199"/>
        <v>1.9343648044058861</v>
      </c>
      <c r="AA263" s="10">
        <f t="shared" si="199"/>
        <v>2.139607391680896</v>
      </c>
      <c r="AB263" s="10">
        <f t="shared" si="199"/>
        <v>2.343788120270736</v>
      </c>
      <c r="AC263" s="10">
        <f t="shared" si="199"/>
        <v>2.5449067150434073</v>
      </c>
      <c r="AD263" s="10">
        <f t="shared" si="200"/>
        <v>2.7450344315356867</v>
      </c>
      <c r="AE263" s="10">
        <f t="shared" si="200"/>
        <v>2.9582446906841664</v>
      </c>
      <c r="AF263" s="10">
        <f t="shared" si="200"/>
        <v>3.1702217488242495</v>
      </c>
      <c r="AG263" s="10">
        <f t="shared" si="200"/>
        <v>3.3810041566516116</v>
      </c>
      <c r="AH263" s="10">
        <f t="shared" si="200"/>
        <v>3.5906285246092073</v>
      </c>
      <c r="AI263" s="10">
        <f t="shared" si="200"/>
        <v>3.7991296561106189</v>
      </c>
      <c r="AJ263" s="10">
        <f t="shared" si="200"/>
        <v>4.0205187531121922</v>
      </c>
      <c r="AK263" s="10">
        <f t="shared" si="200"/>
        <v>4.2405436366918376</v>
      </c>
      <c r="AL263" s="10">
        <f t="shared" si="200"/>
        <v>4.4592481398412245</v>
      </c>
      <c r="AM263" s="10">
        <f t="shared" si="200"/>
        <v>5.5239917136714096</v>
      </c>
      <c r="AN263" s="10">
        <f t="shared" si="200"/>
        <v>6.5704214047738745</v>
      </c>
      <c r="AO263" s="6">
        <f t="shared" si="196"/>
        <v>6.5704214047738745</v>
      </c>
      <c r="AP263" s="6">
        <f t="shared" si="196"/>
        <v>6.5704214047738745</v>
      </c>
      <c r="AQ263" s="6"/>
      <c r="AR263" s="6"/>
      <c r="AS263" s="6"/>
      <c r="AT263" s="6"/>
      <c r="AU263" s="6"/>
      <c r="AV263" s="6"/>
    </row>
    <row r="264" spans="1:48" s="4" customFormat="1">
      <c r="B264" s="22" t="str">
        <f t="shared" si="197"/>
        <v>COM_PROJ</v>
      </c>
      <c r="C264" s="23" t="str">
        <f t="shared" si="190"/>
        <v>-</v>
      </c>
      <c r="D264" s="22" t="str">
        <f>COM!B180</f>
        <v>CNG</v>
      </c>
      <c r="E264" s="23" t="str">
        <f t="shared" ref="E264:H266" si="201">IF($A264="*","","-")</f>
        <v>-</v>
      </c>
      <c r="F264" s="23" t="str">
        <f t="shared" si="201"/>
        <v>-</v>
      </c>
      <c r="G264" s="23" t="str">
        <f t="shared" si="201"/>
        <v>-</v>
      </c>
      <c r="H264" s="23" t="str">
        <f t="shared" si="201"/>
        <v>-</v>
      </c>
      <c r="I264" s="22">
        <f t="shared" si="192"/>
        <v>0</v>
      </c>
      <c r="J264" s="10">
        <f t="shared" si="198"/>
        <v>0</v>
      </c>
      <c r="K264" s="10">
        <f t="shared" si="198"/>
        <v>0</v>
      </c>
      <c r="L264" s="10">
        <f t="shared" si="198"/>
        <v>0</v>
      </c>
      <c r="M264" s="10">
        <f t="shared" si="198"/>
        <v>0</v>
      </c>
      <c r="N264" s="10">
        <f t="shared" si="198"/>
        <v>0</v>
      </c>
      <c r="O264" s="10">
        <f t="shared" si="198"/>
        <v>0</v>
      </c>
      <c r="P264" s="10">
        <f t="shared" si="198"/>
        <v>0</v>
      </c>
      <c r="Q264" s="10">
        <f t="shared" si="198"/>
        <v>0</v>
      </c>
      <c r="R264" s="10">
        <f t="shared" si="198"/>
        <v>0</v>
      </c>
      <c r="S264" s="10">
        <f t="shared" si="198"/>
        <v>0</v>
      </c>
      <c r="T264" s="10">
        <f t="shared" si="199"/>
        <v>0</v>
      </c>
      <c r="U264" s="10">
        <f t="shared" si="199"/>
        <v>0</v>
      </c>
      <c r="V264" s="10">
        <f t="shared" si="199"/>
        <v>0</v>
      </c>
      <c r="W264" s="10">
        <f t="shared" si="199"/>
        <v>0</v>
      </c>
      <c r="X264" s="10">
        <f t="shared" si="199"/>
        <v>0</v>
      </c>
      <c r="Y264" s="10">
        <f t="shared" si="199"/>
        <v>0</v>
      </c>
      <c r="Z264" s="10">
        <f t="shared" si="199"/>
        <v>0</v>
      </c>
      <c r="AA264" s="10">
        <f t="shared" si="199"/>
        <v>0</v>
      </c>
      <c r="AB264" s="10">
        <f t="shared" si="199"/>
        <v>0</v>
      </c>
      <c r="AC264" s="10">
        <f t="shared" si="199"/>
        <v>0</v>
      </c>
      <c r="AD264" s="10">
        <f t="shared" si="200"/>
        <v>0</v>
      </c>
      <c r="AE264" s="10">
        <f t="shared" si="200"/>
        <v>0</v>
      </c>
      <c r="AF264" s="10">
        <f t="shared" si="200"/>
        <v>0</v>
      </c>
      <c r="AG264" s="10">
        <f t="shared" si="200"/>
        <v>0</v>
      </c>
      <c r="AH264" s="10">
        <f t="shared" si="200"/>
        <v>0</v>
      </c>
      <c r="AI264" s="10">
        <f t="shared" si="200"/>
        <v>0</v>
      </c>
      <c r="AJ264" s="10">
        <f t="shared" si="200"/>
        <v>0</v>
      </c>
      <c r="AK264" s="10">
        <f t="shared" si="200"/>
        <v>0</v>
      </c>
      <c r="AL264" s="10">
        <f t="shared" si="200"/>
        <v>0</v>
      </c>
      <c r="AM264" s="10">
        <f t="shared" si="200"/>
        <v>0</v>
      </c>
      <c r="AN264" s="10">
        <f t="shared" si="200"/>
        <v>0</v>
      </c>
      <c r="AO264" s="6">
        <f t="shared" si="196"/>
        <v>0</v>
      </c>
      <c r="AP264" s="6">
        <f t="shared" si="196"/>
        <v>0</v>
      </c>
      <c r="AQ264" s="6"/>
      <c r="AR264" s="6"/>
      <c r="AS264" s="6"/>
      <c r="AT264" s="6"/>
      <c r="AU264" s="6"/>
      <c r="AV264" s="6"/>
    </row>
    <row r="265" spans="1:48" s="4" customFormat="1">
      <c r="B265" s="22" t="str">
        <f t="shared" si="197"/>
        <v>COM_PROJ</v>
      </c>
      <c r="C265" s="23" t="str">
        <f t="shared" si="190"/>
        <v>-</v>
      </c>
      <c r="D265" s="22" t="str">
        <f>COM!B181</f>
        <v>CNT</v>
      </c>
      <c r="E265" s="23" t="str">
        <f t="shared" si="201"/>
        <v>-</v>
      </c>
      <c r="F265" s="23" t="str">
        <f t="shared" si="201"/>
        <v>-</v>
      </c>
      <c r="G265" s="23" t="str">
        <f t="shared" si="201"/>
        <v>-</v>
      </c>
      <c r="H265" s="23" t="str">
        <f t="shared" si="201"/>
        <v>-</v>
      </c>
      <c r="I265" s="22">
        <f t="shared" si="192"/>
        <v>0</v>
      </c>
      <c r="J265" s="10">
        <f t="shared" si="198"/>
        <v>0</v>
      </c>
      <c r="K265" s="10">
        <f t="shared" si="198"/>
        <v>0</v>
      </c>
      <c r="L265" s="10">
        <f t="shared" si="198"/>
        <v>0</v>
      </c>
      <c r="M265" s="10">
        <f t="shared" si="198"/>
        <v>0</v>
      </c>
      <c r="N265" s="10">
        <f t="shared" si="198"/>
        <v>0</v>
      </c>
      <c r="O265" s="10">
        <f t="shared" si="198"/>
        <v>0</v>
      </c>
      <c r="P265" s="10">
        <f t="shared" si="198"/>
        <v>0</v>
      </c>
      <c r="Q265" s="10">
        <f t="shared" si="198"/>
        <v>0</v>
      </c>
      <c r="R265" s="10">
        <f t="shared" si="198"/>
        <v>0</v>
      </c>
      <c r="S265" s="10">
        <f t="shared" si="198"/>
        <v>0</v>
      </c>
      <c r="T265" s="10">
        <f t="shared" si="199"/>
        <v>0</v>
      </c>
      <c r="U265" s="10">
        <f t="shared" si="199"/>
        <v>0</v>
      </c>
      <c r="V265" s="10">
        <f t="shared" si="199"/>
        <v>0</v>
      </c>
      <c r="W265" s="10">
        <f t="shared" si="199"/>
        <v>0</v>
      </c>
      <c r="X265" s="10">
        <f t="shared" si="199"/>
        <v>0</v>
      </c>
      <c r="Y265" s="10">
        <f t="shared" si="199"/>
        <v>0</v>
      </c>
      <c r="Z265" s="10">
        <f t="shared" si="199"/>
        <v>0</v>
      </c>
      <c r="AA265" s="10">
        <f t="shared" si="199"/>
        <v>0</v>
      </c>
      <c r="AB265" s="10">
        <f t="shared" si="199"/>
        <v>0</v>
      </c>
      <c r="AC265" s="10">
        <f t="shared" si="199"/>
        <v>0</v>
      </c>
      <c r="AD265" s="10">
        <f t="shared" si="200"/>
        <v>0</v>
      </c>
      <c r="AE265" s="10">
        <f t="shared" si="200"/>
        <v>0</v>
      </c>
      <c r="AF265" s="10">
        <f t="shared" si="200"/>
        <v>0</v>
      </c>
      <c r="AG265" s="10">
        <f t="shared" si="200"/>
        <v>0</v>
      </c>
      <c r="AH265" s="10">
        <f t="shared" si="200"/>
        <v>0</v>
      </c>
      <c r="AI265" s="10">
        <f t="shared" si="200"/>
        <v>0</v>
      </c>
      <c r="AJ265" s="10">
        <f t="shared" si="200"/>
        <v>0</v>
      </c>
      <c r="AK265" s="10">
        <f t="shared" si="200"/>
        <v>0</v>
      </c>
      <c r="AL265" s="10">
        <f t="shared" si="200"/>
        <v>0</v>
      </c>
      <c r="AM265" s="10">
        <f t="shared" si="200"/>
        <v>0</v>
      </c>
      <c r="AN265" s="10">
        <f t="shared" si="200"/>
        <v>0</v>
      </c>
      <c r="AO265" s="6">
        <f>AN265</f>
        <v>0</v>
      </c>
      <c r="AP265" s="6">
        <f>AO265</f>
        <v>0</v>
      </c>
      <c r="AQ265" s="6"/>
      <c r="AR265" s="6"/>
      <c r="AS265" s="6"/>
      <c r="AT265" s="6"/>
      <c r="AU265" s="6"/>
      <c r="AV265" s="6"/>
    </row>
    <row r="266" spans="1:48" s="4" customFormat="1">
      <c r="B266" s="22" t="str">
        <f t="shared" si="197"/>
        <v>COM_PROJ</v>
      </c>
      <c r="C266" s="23" t="str">
        <f t="shared" si="190"/>
        <v>-</v>
      </c>
      <c r="D266" s="22" t="str">
        <f>COM!B182</f>
        <v>CNO</v>
      </c>
      <c r="E266" s="23" t="str">
        <f t="shared" si="201"/>
        <v>-</v>
      </c>
      <c r="F266" s="23" t="str">
        <f t="shared" si="201"/>
        <v>-</v>
      </c>
      <c r="G266" s="23" t="str">
        <f t="shared" si="201"/>
        <v>-</v>
      </c>
      <c r="H266" s="23" t="str">
        <f t="shared" si="201"/>
        <v>-</v>
      </c>
      <c r="I266" s="22">
        <f t="shared" si="192"/>
        <v>0</v>
      </c>
      <c r="J266" s="10">
        <f t="shared" si="198"/>
        <v>0</v>
      </c>
      <c r="K266" s="10">
        <f t="shared" si="198"/>
        <v>0</v>
      </c>
      <c r="L266" s="10">
        <f t="shared" si="198"/>
        <v>0</v>
      </c>
      <c r="M266" s="10">
        <f t="shared" si="198"/>
        <v>0</v>
      </c>
      <c r="N266" s="10">
        <f t="shared" si="198"/>
        <v>0</v>
      </c>
      <c r="O266" s="10">
        <f t="shared" si="198"/>
        <v>0</v>
      </c>
      <c r="P266" s="10">
        <f t="shared" si="198"/>
        <v>0.21074883361483501</v>
      </c>
      <c r="Q266" s="10">
        <f t="shared" si="198"/>
        <v>0.42098770436638538</v>
      </c>
      <c r="R266" s="10">
        <f t="shared" si="198"/>
        <v>0.63072622114645172</v>
      </c>
      <c r="S266" s="10">
        <f t="shared" si="198"/>
        <v>0.83997369905128816</v>
      </c>
      <c r="T266" s="10">
        <f t="shared" si="199"/>
        <v>1.0487391717301804</v>
      </c>
      <c r="U266" s="10">
        <f t="shared" si="199"/>
        <v>1.283271777604279</v>
      </c>
      <c r="V266" s="10">
        <f t="shared" si="199"/>
        <v>1.5169446816815342</v>
      </c>
      <c r="W266" s="10">
        <f t="shared" si="199"/>
        <v>1.7497785311648066</v>
      </c>
      <c r="X266" s="10">
        <f t="shared" si="199"/>
        <v>1.9817931712319699</v>
      </c>
      <c r="Y266" s="10">
        <f t="shared" si="199"/>
        <v>2.2130076877260945</v>
      </c>
      <c r="Z266" s="10">
        <f t="shared" si="199"/>
        <v>2.4772545946581714</v>
      </c>
      <c r="AA266" s="10">
        <f t="shared" si="199"/>
        <v>2.740099607754193</v>
      </c>
      <c r="AB266" s="10">
        <f t="shared" si="199"/>
        <v>3.0015847458665905</v>
      </c>
      <c r="AC266" s="10">
        <f t="shared" si="199"/>
        <v>3.2591483459884492</v>
      </c>
      <c r="AD266" s="10">
        <f t="shared" si="200"/>
        <v>3.5154429725603049</v>
      </c>
      <c r="AE266" s="10">
        <f t="shared" si="200"/>
        <v>3.7884918270994326</v>
      </c>
      <c r="AF266" s="10">
        <f t="shared" si="200"/>
        <v>4.0599613761956421</v>
      </c>
      <c r="AG266" s="10">
        <f t="shared" si="200"/>
        <v>4.3299009900027787</v>
      </c>
      <c r="AH266" s="10">
        <f t="shared" si="200"/>
        <v>4.5983575538797075</v>
      </c>
      <c r="AI266" s="10">
        <f t="shared" si="200"/>
        <v>4.8653756390034903</v>
      </c>
      <c r="AJ266" s="10">
        <f t="shared" si="200"/>
        <v>5.1488987658227954</v>
      </c>
      <c r="AK266" s="10">
        <f t="shared" si="200"/>
        <v>5.4306748054536502</v>
      </c>
      <c r="AL266" s="10">
        <f t="shared" si="200"/>
        <v>5.7107598928504171</v>
      </c>
      <c r="AM266" s="10">
        <f t="shared" si="200"/>
        <v>7.0743294245105544</v>
      </c>
      <c r="AN266" s="10">
        <f t="shared" si="200"/>
        <v>8.4144451846639221</v>
      </c>
      <c r="AO266" s="6">
        <f>AN266</f>
        <v>8.4144451846639221</v>
      </c>
      <c r="AP266" s="6">
        <f>AO266</f>
        <v>8.4144451846639221</v>
      </c>
      <c r="AQ266" s="6"/>
      <c r="AR266" s="6"/>
      <c r="AS266" s="6"/>
      <c r="AT266" s="6"/>
      <c r="AU266" s="6"/>
      <c r="AV266" s="6"/>
    </row>
    <row r="267" spans="1:48">
      <c r="K267" s="96"/>
    </row>
    <row r="268" spans="1:48">
      <c r="K268" s="96"/>
    </row>
    <row r="269" spans="1:48">
      <c r="M269" s="105"/>
      <c r="AB269" s="105"/>
    </row>
  </sheetData>
  <mergeCells count="2">
    <mergeCell ref="B2:C2"/>
    <mergeCell ref="B13:C13"/>
  </mergeCells>
  <pageMargins left="0.7" right="0.7" top="0.75" bottom="0.75" header="0.3" footer="0.3"/>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09375" defaultRowHeight="10.199999999999999"/>
  <cols>
    <col min="1" max="1" width="12.44140625" style="18" customWidth="1"/>
    <col min="2" max="2" width="9.109375" style="18"/>
    <col min="3" max="3" width="11" style="18" customWidth="1"/>
    <col min="4" max="4" width="36.88671875" style="18" customWidth="1"/>
    <col min="5" max="5" width="10.109375" style="18" customWidth="1"/>
    <col min="6" max="6" width="28.88671875" style="18" customWidth="1"/>
    <col min="7" max="16384" width="9.109375" style="18"/>
  </cols>
  <sheetData>
    <row r="1" spans="1:9">
      <c r="A1" s="16" t="s">
        <v>29</v>
      </c>
      <c r="B1" s="18" t="s">
        <v>18</v>
      </c>
      <c r="I1" s="18" t="s">
        <v>79</v>
      </c>
    </row>
    <row r="2" spans="1:9">
      <c r="A2" s="18" t="s">
        <v>17</v>
      </c>
    </row>
    <row r="3" spans="1:9">
      <c r="A3" s="18" t="s">
        <v>17</v>
      </c>
    </row>
    <row r="4" spans="1:9">
      <c r="A4" s="18" t="s">
        <v>17</v>
      </c>
      <c r="B4" s="16" t="s">
        <v>31</v>
      </c>
      <c r="C4" s="26" t="s">
        <v>32</v>
      </c>
      <c r="D4" s="16" t="s">
        <v>33</v>
      </c>
      <c r="E4" s="16" t="s">
        <v>34</v>
      </c>
      <c r="F4" s="16" t="s">
        <v>35</v>
      </c>
      <c r="G4" s="16" t="s">
        <v>36</v>
      </c>
    </row>
    <row r="5" spans="1:9">
      <c r="A5" s="18" t="s">
        <v>17</v>
      </c>
      <c r="B5" s="16" t="s">
        <v>80</v>
      </c>
      <c r="C5" s="26"/>
      <c r="D5" s="16"/>
      <c r="E5" s="16"/>
      <c r="F5" s="16"/>
      <c r="G5" s="16"/>
    </row>
    <row r="6" spans="1:9">
      <c r="A6" s="18" t="str">
        <f>[3]ITEMS_Comm!A9</f>
        <v/>
      </c>
      <c r="B6" s="19" t="str">
        <f>[3]ITEMS_Comm!B9</f>
        <v>E</v>
      </c>
      <c r="C6" s="46" t="str">
        <f>[3]ITEMS_Comm!C9</f>
        <v>TPPRSUV</v>
      </c>
      <c r="D6" s="45" t="str">
        <f>[3]ITEMS_Comm!D9</f>
        <v>Transport Passenger SUV Priv.Veh.</v>
      </c>
      <c r="E6" s="19" t="str">
        <f>[3]ITEMS_Comm!E9</f>
        <v>PJ</v>
      </c>
      <c r="F6" s="19" t="str">
        <f>[3]ITEMS_Comm!F9</f>
        <v>COM,DEM,ANNUAL,RES</v>
      </c>
    </row>
    <row r="7" spans="1:9">
      <c r="A7" s="18" t="str">
        <f>[3]ITEMS_Comm!A10</f>
        <v/>
      </c>
      <c r="B7" s="19" t="str">
        <f>[3]ITEMS_Comm!B10</f>
        <v>E</v>
      </c>
      <c r="C7" s="46" t="str">
        <f>[3]ITEMS_Comm!C10</f>
        <v>TPPRCAR</v>
      </c>
      <c r="D7" s="45" t="str">
        <f>[3]ITEMS_Comm!D10</f>
        <v>Transport Passenger Car Priv.Veh.</v>
      </c>
      <c r="E7" s="19" t="str">
        <f>[3]ITEMS_Comm!E10</f>
        <v>PJ</v>
      </c>
      <c r="F7" s="19" t="str">
        <f>[3]ITEMS_Comm!F10</f>
        <v>COM,DEM,ANNUAL,RES</v>
      </c>
    </row>
    <row r="8" spans="1:9">
      <c r="A8" s="18" t="str">
        <f>[3]ITEMS_Comm!A11</f>
        <v/>
      </c>
      <c r="B8" s="19" t="str">
        <f>[3]ITEMS_Comm!B11</f>
        <v>E</v>
      </c>
      <c r="C8" s="46" t="str">
        <f>[3]ITEMS_Comm!C11</f>
        <v>TPPRMOT</v>
      </c>
      <c r="D8" s="45" t="str">
        <f>[3]ITEMS_Comm!D11</f>
        <v>Transport Passenger Moto Priv.Veh.</v>
      </c>
      <c r="E8" s="19" t="str">
        <f>[3]ITEMS_Comm!E11</f>
        <v>PJ</v>
      </c>
      <c r="F8" s="19" t="str">
        <f>[3]ITEMS_Comm!F11</f>
        <v>COM,DEM,ANNUAL,RES</v>
      </c>
    </row>
    <row r="9" spans="1:9">
      <c r="A9" s="18" t="str">
        <f>[3]ITEMS_Comm!A12</f>
        <v/>
      </c>
      <c r="B9" s="19" t="str">
        <f>[3]ITEMS_Comm!B12</f>
        <v>E</v>
      </c>
      <c r="C9" s="46" t="str">
        <f>[3]ITEMS_Comm!C12</f>
        <v>TPPUBUS</v>
      </c>
      <c r="D9" s="45" t="str">
        <f>[3]ITEMS_Comm!D12</f>
        <v>Transport Passenger Bus</v>
      </c>
      <c r="E9" s="19" t="str">
        <f>[3]ITEMS_Comm!E12</f>
        <v>PJ</v>
      </c>
      <c r="F9" s="19" t="str">
        <f>[3]ITEMS_Comm!F12</f>
        <v>COM,DEM,ANNUAL,RES</v>
      </c>
    </row>
    <row r="10" spans="1:9">
      <c r="A10" s="18" t="str">
        <f>[3]ITEMS_Comm!A13</f>
        <v/>
      </c>
      <c r="B10" s="19" t="str">
        <f>[3]ITEMS_Comm!B13</f>
        <v>E</v>
      </c>
      <c r="C10" s="46" t="str">
        <f>[3]ITEMS_Comm!C13</f>
        <v>TPPUMBT</v>
      </c>
      <c r="D10" s="45" t="str">
        <f>[3]ITEMS_Comm!D13</f>
        <v>Transport Passenger Minibus</v>
      </c>
      <c r="E10" s="19" t="str">
        <f>[3]ITEMS_Comm!E13</f>
        <v>PJ</v>
      </c>
      <c r="F10" s="19" t="str">
        <f>[3]ITEMS_Comm!F13</f>
        <v>COM,DEM,ANNUAL,RES</v>
      </c>
    </row>
    <row r="11" spans="1:9">
      <c r="A11" s="18" t="str">
        <f>[3]ITEMS_Comm!A14</f>
        <v/>
      </c>
      <c r="B11" s="19" t="str">
        <f>[3]ITEMS_Comm!B14</f>
        <v>E</v>
      </c>
      <c r="C11" s="46" t="str">
        <f>[3]ITEMS_Comm!C14</f>
        <v>TPPUBRT</v>
      </c>
      <c r="D11" s="45" t="str">
        <f>[3]ITEMS_Comm!D14</f>
        <v>Transport Passenger BRT</v>
      </c>
      <c r="E11" s="19" t="str">
        <f>[3]ITEMS_Comm!E14</f>
        <v>PJ</v>
      </c>
      <c r="F11" s="19" t="str">
        <f>[3]ITEMS_Comm!F14</f>
        <v>COM,DEM,ANNUAL,RES</v>
      </c>
    </row>
    <row r="12" spans="1:9">
      <c r="A12" s="18" t="str">
        <f>[3]ITEMS_Comm!A15</f>
        <v/>
      </c>
      <c r="B12" s="19" t="str">
        <f>[3]ITEMS_Comm!B15</f>
        <v>E</v>
      </c>
      <c r="C12" s="46" t="str">
        <f>[3]ITEMS_Comm!C15</f>
        <v>TPPUMER</v>
      </c>
      <c r="D12" s="45" t="str">
        <f>[3]ITEMS_Comm!D15</f>
        <v>Transport Passenger Metro Rail</v>
      </c>
      <c r="E12" s="19" t="str">
        <f>[3]ITEMS_Comm!E15</f>
        <v>PJ</v>
      </c>
      <c r="F12" s="19" t="str">
        <f>[3]ITEMS_Comm!F15</f>
        <v>COM,DEM,ANNUAL,RES</v>
      </c>
    </row>
    <row r="13" spans="1:9">
      <c r="A13" s="18" t="str">
        <f>[3]ITEMS_Comm!A16</f>
        <v/>
      </c>
      <c r="B13" s="19" t="str">
        <f>[3]ITEMS_Comm!B16</f>
        <v>E</v>
      </c>
      <c r="C13" s="46" t="str">
        <f>[3]ITEMS_Comm!C16</f>
        <v>TPPUGAT</v>
      </c>
      <c r="D13" s="45" t="str">
        <f>[3]ITEMS_Comm!D16</f>
        <v>Transport Passenger Gautrain</v>
      </c>
      <c r="E13" s="19" t="str">
        <f>[3]ITEMS_Comm!E16</f>
        <v>PJ</v>
      </c>
      <c r="F13" s="19" t="str">
        <f>[3]ITEMS_Comm!F16</f>
        <v>COM,DEM,ANNUAL,RES</v>
      </c>
    </row>
    <row r="14" spans="1:9">
      <c r="A14" s="18" t="str">
        <f>[3]ITEMS_Comm!A17</f>
        <v>*</v>
      </c>
      <c r="B14" s="19"/>
      <c r="C14" s="46"/>
      <c r="D14" s="45"/>
      <c r="E14" s="19"/>
      <c r="F14" s="19"/>
    </row>
    <row r="15" spans="1:9">
      <c r="B15" s="19" t="str">
        <f>[3]ITEMS_Comm!B18</f>
        <v>E</v>
      </c>
      <c r="C15" s="46" t="str">
        <f>[3]ITEMS_Comm!C18</f>
        <v>TFLCV</v>
      </c>
      <c r="D15" s="45" t="str">
        <f>[3]ITEMS_Comm!D18</f>
        <v>Transport Freight - LCV</v>
      </c>
      <c r="E15" s="19" t="str">
        <f>[3]ITEMS_Comm!E18</f>
        <v>PJ</v>
      </c>
      <c r="F15" s="19" t="str">
        <f>[3]ITEMS_Comm!F18</f>
        <v>COM,DEM,ANNUAL,RES</v>
      </c>
    </row>
    <row r="16" spans="1:9">
      <c r="B16" s="19" t="str">
        <f>[3]ITEMS_Comm!B19</f>
        <v>E</v>
      </c>
      <c r="C16" s="46" t="str">
        <f>[3]ITEMS_Comm!C19</f>
        <v>TFHCV1</v>
      </c>
      <c r="D16" s="45" t="str">
        <f>[3]ITEMS_Comm!D19</f>
        <v>Transport Freight - HCV1</v>
      </c>
      <c r="E16" s="19" t="str">
        <f>[3]ITEMS_Comm!E19</f>
        <v>PJ</v>
      </c>
      <c r="F16" s="19" t="str">
        <f>[3]ITEMS_Comm!F19</f>
        <v>COM,DEM,ANNUAL,RES</v>
      </c>
    </row>
    <row r="17" spans="1:6">
      <c r="B17" s="19" t="str">
        <f>[3]ITEMS_Comm!B20</f>
        <v>E</v>
      </c>
      <c r="C17" s="46" t="str">
        <f>[3]ITEMS_Comm!C20</f>
        <v>TFHCV2</v>
      </c>
      <c r="D17" s="45" t="str">
        <f>[3]ITEMS_Comm!D20</f>
        <v>Transport Freight - HCV2</v>
      </c>
      <c r="E17" s="19" t="str">
        <f>[3]ITEMS_Comm!E20</f>
        <v>PJ</v>
      </c>
      <c r="F17" s="19" t="str">
        <f>[3]ITEMS_Comm!F20</f>
        <v>COM,DEM,ANNUAL,RES</v>
      </c>
    </row>
    <row r="18" spans="1:6">
      <c r="B18" s="19" t="str">
        <f>[3]ITEMS_Comm!B21</f>
        <v>E</v>
      </c>
      <c r="C18" s="46" t="str">
        <f>[3]ITEMS_Comm!C21</f>
        <v>TFHCV3</v>
      </c>
      <c r="D18" s="45" t="str">
        <f>[3]ITEMS_Comm!D21</f>
        <v>Transport Freight - HCV3</v>
      </c>
      <c r="E18" s="19" t="str">
        <f>[3]ITEMS_Comm!E21</f>
        <v>PJ</v>
      </c>
      <c r="F18" s="19" t="str">
        <f>[3]ITEMS_Comm!F21</f>
        <v>COM,DEM,ANNUAL,RES</v>
      </c>
    </row>
    <row r="19" spans="1:6">
      <c r="B19" s="19" t="str">
        <f>[3]ITEMS_Comm!B22</f>
        <v>E</v>
      </c>
      <c r="C19" s="46" t="str">
        <f>[3]ITEMS_Comm!C22</f>
        <v>TFHCV4</v>
      </c>
      <c r="D19" s="45" t="str">
        <f>[3]ITEMS_Comm!D22</f>
        <v>Transport Freight - HCV4</v>
      </c>
      <c r="E19" s="19" t="str">
        <f>[3]ITEMS_Comm!E22</f>
        <v>PJ</v>
      </c>
      <c r="F19" s="19" t="str">
        <f>[3]ITEMS_Comm!F22</f>
        <v>COM,DEM,ANNUAL,RES</v>
      </c>
    </row>
    <row r="20" spans="1:6">
      <c r="B20" s="19" t="str">
        <f>[3]ITEMS_Comm!B23</f>
        <v>E</v>
      </c>
      <c r="C20" s="46" t="str">
        <f>[3]ITEMS_Comm!C23</f>
        <v>TFHCV5</v>
      </c>
      <c r="D20" s="45" t="str">
        <f>[3]ITEMS_Comm!D23</f>
        <v>Transport Freight - HCV5</v>
      </c>
      <c r="E20" s="19" t="str">
        <f>[3]ITEMS_Comm!E23</f>
        <v>PJ</v>
      </c>
      <c r="F20" s="19" t="str">
        <f>[3]ITEMS_Comm!F23</f>
        <v>COM,DEM,ANNUAL,RES</v>
      </c>
    </row>
    <row r="21" spans="1:6">
      <c r="B21" s="19" t="str">
        <f>[3]ITEMS_Comm!B24</f>
        <v>E</v>
      </c>
      <c r="C21" s="46" t="str">
        <f>[3]ITEMS_Comm!C24</f>
        <v>TFHCV6</v>
      </c>
      <c r="D21" s="45" t="str">
        <f>[3]ITEMS_Comm!D24</f>
        <v>Transport Freight - HCV6</v>
      </c>
      <c r="E21" s="19" t="str">
        <f>[3]ITEMS_Comm!E24</f>
        <v>PJ</v>
      </c>
      <c r="F21" s="19" t="str">
        <f>[3]ITEMS_Comm!F24</f>
        <v>COM,DEM,ANNUAL,RES</v>
      </c>
    </row>
    <row r="22" spans="1:6">
      <c r="B22" s="19" t="str">
        <f>[3]ITEMS_Comm!B25</f>
        <v>E</v>
      </c>
      <c r="C22" s="46" t="str">
        <f>[3]ITEMS_Comm!C25</f>
        <v>TFHCV7</v>
      </c>
      <c r="D22" s="45" t="str">
        <f>[3]ITEMS_Comm!D25</f>
        <v>Transport Freight - HCV7</v>
      </c>
      <c r="E22" s="19" t="str">
        <f>[3]ITEMS_Comm!E25</f>
        <v>PJ</v>
      </c>
      <c r="F22" s="19" t="str">
        <f>[3]ITEMS_Comm!F25</f>
        <v>COM,DEM,ANNUAL,RES</v>
      </c>
    </row>
    <row r="23" spans="1:6">
      <c r="B23" s="19" t="str">
        <f>[3]ITEMS_Comm!B26</f>
        <v>E</v>
      </c>
      <c r="C23" s="46" t="str">
        <f>[3]ITEMS_Comm!C26</f>
        <v>TFHCV8</v>
      </c>
      <c r="D23" s="45" t="str">
        <f>[3]ITEMS_Comm!D26</f>
        <v>Transport Freight - HCV8</v>
      </c>
      <c r="E23" s="19" t="str">
        <f>[3]ITEMS_Comm!E26</f>
        <v>PJ</v>
      </c>
      <c r="F23" s="19" t="str">
        <f>[3]ITEMS_Comm!F26</f>
        <v>COM,DEM,ANNUAL,RES</v>
      </c>
    </row>
    <row r="24" spans="1:6">
      <c r="B24" s="19" t="str">
        <f>[3]ITEMS_Comm!B27</f>
        <v>E</v>
      </c>
      <c r="C24" s="46" t="str">
        <f>[3]ITEMS_Comm!C27</f>
        <v>TFHCV9</v>
      </c>
      <c r="D24" s="45" t="str">
        <f>[3]ITEMS_Comm!D27</f>
        <v>Transport Freight - HCV9</v>
      </c>
      <c r="E24" s="19" t="str">
        <f>[3]ITEMS_Comm!E27</f>
        <v>PJ</v>
      </c>
      <c r="F24" s="19" t="str">
        <f>[3]ITEMS_Comm!F27</f>
        <v>COM,DEM,ANNUAL,RES</v>
      </c>
    </row>
    <row r="25" spans="1:6">
      <c r="A25" s="18" t="str">
        <f>[3]ITEMS_Comm!A28</f>
        <v/>
      </c>
      <c r="B25" s="19" t="str">
        <f>[3]ITEMS_Comm!B28</f>
        <v>E</v>
      </c>
      <c r="C25" s="46" t="str">
        <f>[3]ITEMS_Comm!C28</f>
        <v>TFRCO</v>
      </c>
      <c r="D25" s="45" t="str">
        <f>[3]ITEMS_Comm!D28</f>
        <v>Transport Freight - Rail Corridor</v>
      </c>
      <c r="E25" s="19" t="str">
        <f>[3]ITEMS_Comm!E28</f>
        <v>PJ</v>
      </c>
      <c r="F25" s="19" t="str">
        <f>[3]ITEMS_Comm!F28</f>
        <v>COM,DEM,ANNUAL,RES</v>
      </c>
    </row>
    <row r="26" spans="1:6">
      <c r="A26" s="18" t="str">
        <f>[3]ITEMS_Comm!A29</f>
        <v/>
      </c>
      <c r="B26" s="19" t="str">
        <f>[3]ITEMS_Comm!B29</f>
        <v>E</v>
      </c>
      <c r="C26" s="46" t="str">
        <f>[3]ITEMS_Comm!C29</f>
        <v>TFROT</v>
      </c>
      <c r="D26" s="45" t="str">
        <f>[3]ITEMS_Comm!D29</f>
        <v>Transport Freight - Rail Other</v>
      </c>
      <c r="E26" s="19" t="str">
        <f>[3]ITEMS_Comm!E29</f>
        <v>PJ</v>
      </c>
      <c r="F26" s="19" t="str">
        <f>[3]ITEMS_Comm!F29</f>
        <v>COM,DEM,ANNUAL,RES</v>
      </c>
    </row>
    <row r="27" spans="1:6">
      <c r="A27" s="18" t="str">
        <f>[3]ITEMS_Comm!A30</f>
        <v/>
      </c>
      <c r="B27" s="19" t="str">
        <f>[3]ITEMS_Comm!B30</f>
        <v>E</v>
      </c>
      <c r="C27" s="46" t="str">
        <f>[3]ITEMS_Comm!C30</f>
        <v>TFREX</v>
      </c>
      <c r="D27" s="45" t="str">
        <f>[3]ITEMS_Comm!D30</f>
        <v>Transport Freight - Rail Export (bulk mining)</v>
      </c>
      <c r="E27" s="19" t="str">
        <f>[3]ITEMS_Comm!E30</f>
        <v>PJ</v>
      </c>
      <c r="F27" s="19" t="str">
        <f>[3]ITEMS_Comm!F30</f>
        <v>COM,DEM,ANNUAL,RES</v>
      </c>
    </row>
    <row r="28" spans="1:6">
      <c r="A28" s="18" t="str">
        <f>[3]ITEMS_Comm!A31</f>
        <v>*</v>
      </c>
      <c r="B28" s="19"/>
      <c r="C28" s="46"/>
      <c r="D28" s="45"/>
      <c r="E28" s="19"/>
      <c r="F28" s="19"/>
    </row>
    <row r="29" spans="1:6">
      <c r="A29" s="18" t="str">
        <f>[3]ITEMS_Comm!A32</f>
        <v/>
      </c>
      <c r="B29" s="19" t="str">
        <f>[3]ITEMS_Comm!B32</f>
        <v>E</v>
      </c>
      <c r="C29" s="46" t="str">
        <f>[3]ITEMS_Comm!C32</f>
        <v>TFPIP</v>
      </c>
      <c r="D29" s="45" t="str">
        <f>[3]ITEMS_Comm!D32</f>
        <v>Transport Other - Pipeline</v>
      </c>
      <c r="E29" s="19" t="str">
        <f>[3]ITEMS_Comm!E32</f>
        <v>PJ</v>
      </c>
      <c r="F29" s="19" t="str">
        <f>[3]ITEMS_Comm!F32</f>
        <v>COM,DEM,ANNUAL,RES</v>
      </c>
    </row>
    <row r="30" spans="1:6">
      <c r="A30" s="18" t="str">
        <f>[3]ITEMS_Comm!A33</f>
        <v/>
      </c>
      <c r="B30" s="19" t="str">
        <f>[3]ITEMS_Comm!B33</f>
        <v>E</v>
      </c>
      <c r="C30" s="46" t="str">
        <f>[3]ITEMS_Comm!C33</f>
        <v>TAIJET</v>
      </c>
      <c r="D30" s="45" t="str">
        <f>[3]ITEMS_Comm!D33</f>
        <v xml:space="preserve">Transport Other -  Aviation Int Jet Fuel </v>
      </c>
      <c r="E30" s="19" t="str">
        <f>[3]ITEMS_Comm!E33</f>
        <v>PJ</v>
      </c>
      <c r="F30" s="19" t="str">
        <f>[3]ITEMS_Comm!F33</f>
        <v>COM,DEM,ANNUAL,RES</v>
      </c>
    </row>
    <row r="31" spans="1:6">
      <c r="A31" s="18" t="str">
        <f>[3]ITEMS_Comm!A34</f>
        <v/>
      </c>
      <c r="B31" s="19" t="str">
        <f>[3]ITEMS_Comm!B34</f>
        <v>E</v>
      </c>
      <c r="C31" s="46" t="str">
        <f>[3]ITEMS_Comm!C34</f>
        <v>TADJET</v>
      </c>
      <c r="D31" s="45" t="str">
        <f>[3]ITEMS_Comm!D34</f>
        <v xml:space="preserve">Transport Other -  Aviation Dom Jet Fuel </v>
      </c>
      <c r="E31" s="19" t="str">
        <f>[3]ITEMS_Comm!E34</f>
        <v>PJ</v>
      </c>
      <c r="F31" s="19" t="str">
        <f>[3]ITEMS_Comm!F34</f>
        <v>COM,DEM,ANNUAL,RES</v>
      </c>
    </row>
    <row r="32" spans="1:6">
      <c r="A32" s="18" t="str">
        <f>[3]ITEMS_Comm!A35</f>
        <v/>
      </c>
      <c r="B32" s="19" t="str">
        <f>[3]ITEMS_Comm!B35</f>
        <v>E</v>
      </c>
      <c r="C32" s="46" t="str">
        <f>[3]ITEMS_Comm!C35</f>
        <v>TAOAG</v>
      </c>
      <c r="D32" s="45" t="str">
        <f>[3]ITEMS_Comm!D35</f>
        <v>Transport Other - Aviation Gasoline</v>
      </c>
      <c r="E32" s="19" t="str">
        <f>[3]ITEMS_Comm!E35</f>
        <v>PJ</v>
      </c>
      <c r="F32" s="19" t="str">
        <f>[3]ITEMS_Comm!F35</f>
        <v>COM,DEM,ANNUAL,RES</v>
      </c>
    </row>
    <row r="33" spans="1:6">
      <c r="A33" s="18" t="str">
        <f>[3]ITEMS_Comm!A36</f>
        <v/>
      </c>
      <c r="B33" s="19" t="str">
        <f>[3]ITEMS_Comm!B36</f>
        <v>E</v>
      </c>
      <c r="C33" s="46" t="str">
        <f>[3]ITEMS_Comm!C36</f>
        <v>TSHFO</v>
      </c>
      <c r="D33" s="45" t="str">
        <f>[3]ITEMS_Comm!D36</f>
        <v>Transport Other - HFO</v>
      </c>
      <c r="E33" s="19" t="str">
        <f>[3]ITEMS_Comm!E36</f>
        <v>PJ</v>
      </c>
      <c r="F33" s="19" t="str">
        <f>[3]ITEMS_Comm!F36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132" workbookViewId="0">
      <selection activeCell="M167" sqref="M167"/>
    </sheetView>
  </sheetViews>
  <sheetFormatPr defaultColWidth="9.109375" defaultRowHeight="14.4"/>
  <cols>
    <col min="1" max="1" width="9.109375" style="227"/>
    <col min="2" max="2" width="11.88671875" style="227" customWidth="1"/>
    <col min="3" max="3" width="73" style="227" customWidth="1"/>
    <col min="4" max="4" width="9.109375" style="227"/>
    <col min="5" max="5" width="13.44140625" style="227" bestFit="1" customWidth="1"/>
    <col min="6" max="53" width="9.109375" style="227"/>
    <col min="54" max="54" width="16" style="227" customWidth="1"/>
    <col min="55" max="16384" width="9.109375" style="227"/>
  </cols>
  <sheetData>
    <row r="1" spans="1:58">
      <c r="A1" s="227" t="str">
        <f>IF(TRA,"TS DATA","")</f>
        <v>TS DATA</v>
      </c>
      <c r="B1" s="227" t="s">
        <v>18</v>
      </c>
      <c r="D1" s="227">
        <f>MCDrivers!M181</f>
        <v>-1</v>
      </c>
      <c r="BA1" s="234" t="s">
        <v>224</v>
      </c>
      <c r="BB1" s="234" t="s">
        <v>589</v>
      </c>
      <c r="BC1" s="234" t="s">
        <v>198</v>
      </c>
      <c r="BD1" s="234" t="s">
        <v>597</v>
      </c>
      <c r="BE1" s="234"/>
    </row>
    <row r="2" spans="1:58" ht="15" thickBot="1">
      <c r="A2" s="227" t="s">
        <v>17</v>
      </c>
      <c r="B2" s="298" t="s">
        <v>305</v>
      </c>
      <c r="C2" s="298"/>
      <c r="BA2" s="234"/>
      <c r="BB2" s="234"/>
      <c r="BC2" s="234"/>
      <c r="BD2" s="234" t="s">
        <v>592</v>
      </c>
      <c r="BE2" s="234" t="s">
        <v>606</v>
      </c>
    </row>
    <row r="3" spans="1:58">
      <c r="A3" s="227" t="s">
        <v>17</v>
      </c>
      <c r="C3" s="234" t="str">
        <f>INDEX($BB$4:$BB$7,MATCH($D$3,$BA$4:$BA$7,0))</f>
        <v>PAMS Reference</v>
      </c>
      <c r="D3" s="238">
        <f>MCDrivers!M181</f>
        <v>-1</v>
      </c>
      <c r="F3" s="227">
        <f>MATCH(F4,MCEcon!$C$42:$AG$42,0)</f>
        <v>1</v>
      </c>
      <c r="G3" s="227">
        <f>MATCH(G4,MCEcon!$C$42:$AG$42,0)</f>
        <v>4</v>
      </c>
      <c r="H3" s="227">
        <f>MATCH(H4,MCEcon!$C$42:$AG$42,0)</f>
        <v>6</v>
      </c>
      <c r="I3" s="227">
        <f>MATCH(I4,MCEcon!$C$42:$AG$42,0)</f>
        <v>9</v>
      </c>
      <c r="J3" s="227">
        <f>MATCH(J4,MCEcon!$C$42:$AG$42,0)</f>
        <v>19</v>
      </c>
      <c r="K3" s="227">
        <f>MATCH(K4,MCEcon!$C$42:$AG$42,0)</f>
        <v>29</v>
      </c>
      <c r="L3" s="227">
        <f>MATCH(L4,MCEcon!$C$42:$AG$42,0)</f>
        <v>31</v>
      </c>
      <c r="BA3" s="234"/>
      <c r="BB3" s="234"/>
      <c r="BC3" s="234"/>
      <c r="BD3" s="234" t="s">
        <v>154</v>
      </c>
      <c r="BE3" s="234"/>
    </row>
    <row r="4" spans="1:58">
      <c r="A4" s="227" t="s">
        <v>17</v>
      </c>
      <c r="B4" s="274"/>
      <c r="C4" s="5" t="s">
        <v>199</v>
      </c>
      <c r="D4" s="237">
        <f>INDEX($BC$4:$BC$7,MATCH($D$3,BA$4:BA$7,0))</f>
        <v>0</v>
      </c>
      <c r="F4" s="227">
        <v>2012</v>
      </c>
      <c r="G4" s="227">
        <v>2015</v>
      </c>
      <c r="H4" s="227">
        <v>2017</v>
      </c>
      <c r="I4" s="227">
        <v>2020</v>
      </c>
      <c r="J4" s="227">
        <v>2030</v>
      </c>
      <c r="K4" s="227">
        <v>2040</v>
      </c>
      <c r="L4" s="227">
        <v>2050</v>
      </c>
      <c r="N4" s="7">
        <v>2015</v>
      </c>
      <c r="O4" s="7">
        <v>2020</v>
      </c>
      <c r="P4" s="7">
        <v>2030</v>
      </c>
      <c r="Q4" s="7">
        <v>2040</v>
      </c>
      <c r="R4" s="7">
        <v>2050</v>
      </c>
      <c r="T4" s="7">
        <f>N4</f>
        <v>2015</v>
      </c>
      <c r="U4" s="7">
        <f>O4</f>
        <v>2020</v>
      </c>
      <c r="V4" s="7">
        <f>P4</f>
        <v>2030</v>
      </c>
      <c r="W4" s="7">
        <f>Q4</f>
        <v>2040</v>
      </c>
      <c r="X4" s="7">
        <f>R4</f>
        <v>2050</v>
      </c>
      <c r="BA4" s="234">
        <v>-1</v>
      </c>
      <c r="BB4" s="234" t="s">
        <v>596</v>
      </c>
      <c r="BC4" s="234">
        <v>0</v>
      </c>
      <c r="BD4" s="226">
        <v>0.95</v>
      </c>
      <c r="BE4" s="243">
        <v>1</v>
      </c>
    </row>
    <row r="5" spans="1:58" ht="15" thickBot="1">
      <c r="A5" s="227" t="s">
        <v>17</v>
      </c>
      <c r="B5" s="14" t="s">
        <v>12</v>
      </c>
      <c r="C5" s="14"/>
      <c r="D5" s="14"/>
      <c r="E5" s="14"/>
      <c r="F5" s="14"/>
      <c r="G5" s="14"/>
      <c r="H5" s="14"/>
      <c r="I5" s="14"/>
      <c r="J5" s="14"/>
      <c r="K5" s="14"/>
      <c r="L5" s="14"/>
      <c r="M5" s="14"/>
      <c r="BA5" s="234">
        <v>1</v>
      </c>
      <c r="BB5" s="234" t="s">
        <v>590</v>
      </c>
      <c r="BC5" s="234">
        <v>1</v>
      </c>
      <c r="BD5" s="226">
        <v>0.77</v>
      </c>
      <c r="BE5" s="243">
        <v>0</v>
      </c>
      <c r="BF5" s="30"/>
    </row>
    <row r="6" spans="1:58">
      <c r="A6" s="227" t="s">
        <v>17</v>
      </c>
      <c r="B6" s="227" t="s">
        <v>10</v>
      </c>
      <c r="C6" s="227" t="s">
        <v>11</v>
      </c>
      <c r="D6" s="227" t="s">
        <v>418</v>
      </c>
      <c r="BA6" s="234">
        <v>2</v>
      </c>
      <c r="BB6" s="234" t="s">
        <v>605</v>
      </c>
      <c r="BC6" s="234">
        <v>1</v>
      </c>
      <c r="BD6" s="223">
        <v>0.88</v>
      </c>
      <c r="BE6" s="244">
        <v>1</v>
      </c>
    </row>
    <row r="7" spans="1:58">
      <c r="A7" s="227" t="s">
        <v>17</v>
      </c>
      <c r="B7" s="228" t="s">
        <v>659</v>
      </c>
      <c r="C7" s="228" t="s">
        <v>3</v>
      </c>
      <c r="D7" s="227">
        <f>MATCH(B7,MCEcon!$A$44:$A$59,0)</f>
        <v>14</v>
      </c>
      <c r="E7" s="228"/>
      <c r="F7" s="24">
        <f>INDEX(MCEcon!$C$44:$AG$59,$D7,F$3)</f>
        <v>2.9857347895642108E-2</v>
      </c>
      <c r="G7" s="24">
        <f>INDEX(MCEcon!$C$44:$AG$59,$D7,G$3)</f>
        <v>3.1957089069586712E-2</v>
      </c>
      <c r="H7" s="24">
        <f>INDEX(MCEcon!$C$44:$AG$59,$D7,H$3)</f>
        <v>3.2500566912283514E-2</v>
      </c>
      <c r="I7" s="24">
        <f>INDEX(MCEcon!$C$44:$AG$59,$D7,I$3)</f>
        <v>3.3315783676328731E-2</v>
      </c>
      <c r="J7" s="24">
        <f>INDEX(MCEcon!$C$44:$AG$59,$D7,J$3)</f>
        <v>3.9393555010369931E-2</v>
      </c>
      <c r="K7" s="24">
        <f>INDEX(MCEcon!$C$44:$AG$59,$D7,K$3)</f>
        <v>4.8285991518724383E-2</v>
      </c>
      <c r="L7" s="24">
        <f>INDEX(MCEcon!$C$44:$AG$59,$D7,L$3)</f>
        <v>5.8299222792853836E-2</v>
      </c>
      <c r="M7" s="228"/>
      <c r="N7" s="228">
        <f>G7</f>
        <v>3.1957089069586712E-2</v>
      </c>
      <c r="O7" s="228">
        <f t="shared" ref="O7:R9" si="0">I7</f>
        <v>3.3315783676328731E-2</v>
      </c>
      <c r="P7" s="228">
        <f t="shared" si="0"/>
        <v>3.9393555010369931E-2</v>
      </c>
      <c r="Q7" s="228">
        <f t="shared" si="0"/>
        <v>4.8285991518724383E-2</v>
      </c>
      <c r="R7" s="228">
        <f t="shared" si="0"/>
        <v>5.8299222792853836E-2</v>
      </c>
      <c r="T7" s="228">
        <f t="shared" ref="T7:X9" si="1">N7</f>
        <v>3.1957089069586712E-2</v>
      </c>
      <c r="U7" s="228">
        <f t="shared" si="1"/>
        <v>3.3315783676328731E-2</v>
      </c>
      <c r="V7" s="228">
        <f t="shared" si="1"/>
        <v>3.9393555010369931E-2</v>
      </c>
      <c r="W7" s="228">
        <f t="shared" si="1"/>
        <v>4.8285991518724383E-2</v>
      </c>
      <c r="X7" s="228">
        <f t="shared" si="1"/>
        <v>5.8299222792853836E-2</v>
      </c>
      <c r="BA7" s="234"/>
      <c r="BB7" s="234"/>
      <c r="BC7" s="234"/>
      <c r="BD7" s="223"/>
      <c r="BE7" s="244"/>
    </row>
    <row r="8" spans="1:58">
      <c r="A8" s="227" t="s">
        <v>17</v>
      </c>
      <c r="B8" s="228" t="s">
        <v>399</v>
      </c>
      <c r="C8" s="228" t="s">
        <v>69</v>
      </c>
      <c r="D8" s="227">
        <f>MATCH(B8,MCEcon!$A$44:$A$59,0)</f>
        <v>3</v>
      </c>
      <c r="E8" s="228"/>
      <c r="F8" s="24">
        <f>INDEX(MCEcon!$C$44:$AG$59,$D8,F$3)</f>
        <v>3.0070957798834522E-2</v>
      </c>
      <c r="G8" s="24">
        <f>INDEX(MCEcon!$C$44:$AG$59,$D8,G$3)</f>
        <v>3.1243570884306543E-2</v>
      </c>
      <c r="H8" s="24">
        <f>INDEX(MCEcon!$C$44:$AG$59,$D8,H$3)</f>
        <v>3.1258130188526176E-2</v>
      </c>
      <c r="I8" s="24">
        <f>INDEX(MCEcon!$C$44:$AG$59,$D8,I$3)</f>
        <v>3.1279969144855632E-2</v>
      </c>
      <c r="J8" s="24">
        <f>INDEX(MCEcon!$C$44:$AG$59,$D8,J$3)</f>
        <v>3.6353565403456183E-2</v>
      </c>
      <c r="K8" s="24">
        <f>INDEX(MCEcon!$C$44:$AG$59,$D8,K$3)</f>
        <v>4.4572976407579859E-2</v>
      </c>
      <c r="L8" s="24">
        <f>INDEX(MCEcon!$C$44:$AG$59,$D8,L$3)</f>
        <v>5.2591495766300678E-2</v>
      </c>
      <c r="M8" s="228"/>
      <c r="N8" s="228">
        <f>G8</f>
        <v>3.1243570884306543E-2</v>
      </c>
      <c r="O8" s="228">
        <f t="shared" si="0"/>
        <v>3.1279969144855632E-2</v>
      </c>
      <c r="P8" s="228">
        <f t="shared" si="0"/>
        <v>3.6353565403456183E-2</v>
      </c>
      <c r="Q8" s="228">
        <f t="shared" si="0"/>
        <v>4.4572976407579859E-2</v>
      </c>
      <c r="R8" s="228">
        <f t="shared" si="0"/>
        <v>5.2591495766300678E-2</v>
      </c>
      <c r="T8" s="228">
        <f t="shared" si="1"/>
        <v>3.1243570884306543E-2</v>
      </c>
      <c r="U8" s="228">
        <f t="shared" si="1"/>
        <v>3.1279969144855632E-2</v>
      </c>
      <c r="V8" s="228">
        <f t="shared" si="1"/>
        <v>3.6353565403456183E-2</v>
      </c>
      <c r="W8" s="228">
        <f t="shared" si="1"/>
        <v>4.4572976407579859E-2</v>
      </c>
      <c r="X8" s="228">
        <f t="shared" si="1"/>
        <v>5.2591495766300678E-2</v>
      </c>
    </row>
    <row r="9" spans="1:58">
      <c r="A9" s="227" t="s">
        <v>17</v>
      </c>
      <c r="B9" s="228" t="s">
        <v>400</v>
      </c>
      <c r="C9" s="228" t="s">
        <v>70</v>
      </c>
      <c r="D9" s="227">
        <f>MATCH(B9,MCEcon!$A$44:$A$59,0)</f>
        <v>9</v>
      </c>
      <c r="E9" s="228"/>
      <c r="F9" s="24">
        <f>INDEX(MCEcon!$C$44:$AG$59,$D9,F$3)</f>
        <v>9.3942736075330446E-3</v>
      </c>
      <c r="G9" s="24">
        <f>INDEX(MCEcon!$C$44:$AG$59,$D9,G$3)</f>
        <v>9.8746420051609076E-3</v>
      </c>
      <c r="H9" s="24">
        <f>INDEX(MCEcon!$C$44:$AG$59,$D9,H$3)</f>
        <v>9.8552459884434836E-3</v>
      </c>
      <c r="I9" s="24">
        <f>INDEX(MCEcon!$C$44:$AG$59,$D9,I$3)</f>
        <v>9.8261519633673477E-3</v>
      </c>
      <c r="J9" s="24">
        <f>INDEX(MCEcon!$C$44:$AG$59,$D9,J$3)</f>
        <v>1.2110936047320397E-2</v>
      </c>
      <c r="K9" s="24">
        <f>INDEX(MCEcon!$C$44:$AG$59,$D9,K$3)</f>
        <v>1.4630106235926208E-2</v>
      </c>
      <c r="L9" s="24">
        <f>INDEX(MCEcon!$C$44:$AG$59,$D9,L$3)</f>
        <v>1.6976780136067543E-2</v>
      </c>
      <c r="M9" s="228"/>
      <c r="N9" s="228">
        <f>G9</f>
        <v>9.8746420051609076E-3</v>
      </c>
      <c r="O9" s="228">
        <f t="shared" si="0"/>
        <v>9.8261519633673477E-3</v>
      </c>
      <c r="P9" s="228">
        <f t="shared" si="0"/>
        <v>1.2110936047320397E-2</v>
      </c>
      <c r="Q9" s="228">
        <f t="shared" si="0"/>
        <v>1.4630106235926208E-2</v>
      </c>
      <c r="R9" s="228">
        <f t="shared" si="0"/>
        <v>1.6976780136067543E-2</v>
      </c>
      <c r="T9" s="228">
        <f t="shared" si="1"/>
        <v>9.8746420051609076E-3</v>
      </c>
      <c r="U9" s="228">
        <f t="shared" si="1"/>
        <v>9.8261519633673477E-3</v>
      </c>
      <c r="V9" s="228">
        <f t="shared" si="1"/>
        <v>1.2110936047320397E-2</v>
      </c>
      <c r="W9" s="228">
        <f t="shared" si="1"/>
        <v>1.4630106235926208E-2</v>
      </c>
      <c r="X9" s="228">
        <f t="shared" si="1"/>
        <v>1.6976780136067543E-2</v>
      </c>
    </row>
    <row r="10" spans="1:58">
      <c r="A10" s="227" t="s">
        <v>17</v>
      </c>
      <c r="B10" s="228"/>
      <c r="C10" s="228"/>
      <c r="E10" s="228"/>
      <c r="F10" s="228"/>
      <c r="G10" s="228"/>
      <c r="H10" s="228"/>
      <c r="I10" s="228"/>
      <c r="J10" s="228"/>
      <c r="K10" s="228"/>
      <c r="L10" s="228"/>
      <c r="M10" s="228"/>
    </row>
    <row r="11" spans="1:58">
      <c r="A11" s="227" t="s">
        <v>17</v>
      </c>
      <c r="N11" s="5" t="s">
        <v>42</v>
      </c>
      <c r="T11" s="5" t="s">
        <v>198</v>
      </c>
    </row>
    <row r="12" spans="1:58" ht="15" thickBot="1">
      <c r="A12" s="227" t="s">
        <v>17</v>
      </c>
      <c r="B12" s="14" t="s">
        <v>477</v>
      </c>
      <c r="C12" s="14"/>
      <c r="D12" s="14"/>
      <c r="F12" s="227">
        <f t="shared" ref="F12:L12" si="2">F$4</f>
        <v>2012</v>
      </c>
      <c r="G12" s="227">
        <f t="shared" si="2"/>
        <v>2015</v>
      </c>
      <c r="H12" s="227">
        <f t="shared" si="2"/>
        <v>2017</v>
      </c>
      <c r="I12" s="227">
        <f t="shared" si="2"/>
        <v>2020</v>
      </c>
      <c r="J12" s="227">
        <f t="shared" si="2"/>
        <v>2030</v>
      </c>
      <c r="K12" s="227">
        <f t="shared" si="2"/>
        <v>2040</v>
      </c>
      <c r="L12" s="227">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227" t="s">
        <v>17</v>
      </c>
      <c r="B13" s="228" t="str">
        <f>ITEMS_TRA!C15</f>
        <v>TFLCV</v>
      </c>
      <c r="C13" s="228" t="str">
        <f>ITEMS_TRA!D15</f>
        <v>Transport Freight - LCV</v>
      </c>
      <c r="D13" s="228"/>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75"/>
      <c r="T13" s="65">
        <f t="shared" ref="T13:X25" si="6">$G13</f>
        <v>0.8</v>
      </c>
      <c r="U13" s="65">
        <f t="shared" si="6"/>
        <v>0.8</v>
      </c>
      <c r="V13" s="65">
        <f t="shared" si="6"/>
        <v>0.8</v>
      </c>
      <c r="W13" s="65">
        <f t="shared" si="6"/>
        <v>0.8</v>
      </c>
      <c r="X13" s="65">
        <f t="shared" si="6"/>
        <v>0.8</v>
      </c>
      <c r="Y13" s="275"/>
      <c r="Z13" s="275"/>
      <c r="AA13" s="275"/>
      <c r="AB13" s="275"/>
      <c r="AC13" s="275"/>
      <c r="AD13" s="275"/>
      <c r="AE13" s="275"/>
      <c r="AF13" s="275"/>
      <c r="AG13" s="275"/>
      <c r="AH13" s="275"/>
      <c r="AI13" s="275"/>
      <c r="AJ13" s="275"/>
      <c r="AK13" s="275"/>
      <c r="AL13" s="275"/>
      <c r="AM13" s="275"/>
      <c r="AN13" s="275"/>
      <c r="AO13" s="275"/>
      <c r="AP13" s="275"/>
      <c r="AQ13" s="275"/>
      <c r="AR13" s="275"/>
    </row>
    <row r="14" spans="1:58">
      <c r="A14" s="227" t="s">
        <v>17</v>
      </c>
      <c r="B14" s="228" t="str">
        <f>ITEMS_TRA!C16</f>
        <v>TFHCV1</v>
      </c>
      <c r="C14" s="228" t="str">
        <f>ITEMS_TRA!D16</f>
        <v>Transport Freight - HCV1</v>
      </c>
      <c r="D14" s="228"/>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75"/>
      <c r="T14" s="65">
        <f t="shared" si="6"/>
        <v>0.8</v>
      </c>
      <c r="U14" s="65">
        <f t="shared" si="6"/>
        <v>0.8</v>
      </c>
      <c r="V14" s="65">
        <f t="shared" si="6"/>
        <v>0.8</v>
      </c>
      <c r="W14" s="65">
        <f t="shared" si="6"/>
        <v>0.8</v>
      </c>
      <c r="X14" s="65">
        <f t="shared" si="6"/>
        <v>0.8</v>
      </c>
      <c r="Y14" s="275"/>
      <c r="Z14" s="275"/>
      <c r="AA14" s="275"/>
      <c r="AB14" s="275"/>
      <c r="AC14" s="275"/>
      <c r="AD14" s="275"/>
      <c r="AE14" s="275"/>
      <c r="AF14" s="275"/>
      <c r="AG14" s="275"/>
      <c r="AH14" s="275"/>
      <c r="AI14" s="275"/>
      <c r="AJ14" s="275"/>
      <c r="AK14" s="275"/>
      <c r="AL14" s="275"/>
      <c r="AM14" s="275"/>
      <c r="AN14" s="275"/>
      <c r="AO14" s="275"/>
      <c r="AP14" s="275"/>
      <c r="AQ14" s="275"/>
      <c r="AR14" s="275"/>
    </row>
    <row r="15" spans="1:58">
      <c r="A15" s="227" t="s">
        <v>17</v>
      </c>
      <c r="B15" s="228" t="str">
        <f>ITEMS_TRA!C17</f>
        <v>TFHCV2</v>
      </c>
      <c r="C15" s="228" t="str">
        <f>ITEMS_TRA!D17</f>
        <v>Transport Freight - HCV2</v>
      </c>
      <c r="D15" s="228"/>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75"/>
      <c r="T15" s="65">
        <f t="shared" si="6"/>
        <v>0.8</v>
      </c>
      <c r="U15" s="65">
        <f t="shared" si="6"/>
        <v>0.8</v>
      </c>
      <c r="V15" s="65">
        <f t="shared" si="6"/>
        <v>0.8</v>
      </c>
      <c r="W15" s="65">
        <f t="shared" si="6"/>
        <v>0.8</v>
      </c>
      <c r="X15" s="65">
        <f t="shared" si="6"/>
        <v>0.8</v>
      </c>
      <c r="Y15" s="275"/>
      <c r="Z15" s="275"/>
      <c r="AA15" s="275"/>
      <c r="AB15" s="275"/>
      <c r="AC15" s="275"/>
      <c r="AD15" s="275"/>
      <c r="AE15" s="275"/>
      <c r="AF15" s="275"/>
      <c r="AG15" s="275"/>
      <c r="AH15" s="275"/>
      <c r="AI15" s="275"/>
      <c r="AJ15" s="275"/>
      <c r="AK15" s="275"/>
      <c r="AL15" s="275"/>
      <c r="AM15" s="275"/>
      <c r="AN15" s="275"/>
      <c r="AO15" s="275"/>
      <c r="AP15" s="275"/>
      <c r="AQ15" s="275"/>
      <c r="AR15" s="275"/>
    </row>
    <row r="16" spans="1:58">
      <c r="A16" s="227" t="s">
        <v>17</v>
      </c>
      <c r="B16" s="228" t="str">
        <f>ITEMS_TRA!C18</f>
        <v>TFHCV3</v>
      </c>
      <c r="C16" s="228" t="str">
        <f>ITEMS_TRA!D18</f>
        <v>Transport Freight - HCV3</v>
      </c>
      <c r="D16" s="228"/>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75"/>
      <c r="T16" s="65">
        <f t="shared" si="6"/>
        <v>0.8</v>
      </c>
      <c r="U16" s="65">
        <f t="shared" si="6"/>
        <v>0.8</v>
      </c>
      <c r="V16" s="65">
        <f t="shared" si="6"/>
        <v>0.8</v>
      </c>
      <c r="W16" s="65">
        <f t="shared" si="6"/>
        <v>0.8</v>
      </c>
      <c r="X16" s="65">
        <f t="shared" si="6"/>
        <v>0.8</v>
      </c>
      <c r="Y16" s="275"/>
      <c r="Z16" s="275"/>
      <c r="AA16" s="275"/>
      <c r="AB16" s="275"/>
      <c r="AC16" s="275"/>
      <c r="AD16" s="275"/>
      <c r="AE16" s="275"/>
      <c r="AF16" s="275"/>
      <c r="AG16" s="275"/>
      <c r="AH16" s="275"/>
      <c r="AI16" s="275"/>
      <c r="AJ16" s="275"/>
      <c r="AK16" s="275"/>
      <c r="AL16" s="275"/>
      <c r="AM16" s="275"/>
      <c r="AN16" s="275"/>
      <c r="AO16" s="275"/>
      <c r="AP16" s="275"/>
      <c r="AQ16" s="275"/>
      <c r="AR16" s="275"/>
    </row>
    <row r="17" spans="1:44">
      <c r="A17" s="227" t="s">
        <v>17</v>
      </c>
      <c r="B17" s="228" t="str">
        <f>ITEMS_TRA!C19</f>
        <v>TFHCV4</v>
      </c>
      <c r="C17" s="228" t="str">
        <f>ITEMS_TRA!D19</f>
        <v>Transport Freight - HCV4</v>
      </c>
      <c r="D17" s="228"/>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75"/>
      <c r="T17" s="65">
        <f t="shared" si="6"/>
        <v>0.8</v>
      </c>
      <c r="U17" s="65">
        <f t="shared" si="6"/>
        <v>0.8</v>
      </c>
      <c r="V17" s="65">
        <f t="shared" si="6"/>
        <v>0.8</v>
      </c>
      <c r="W17" s="65">
        <f t="shared" si="6"/>
        <v>0.8</v>
      </c>
      <c r="X17" s="65">
        <f t="shared" si="6"/>
        <v>0.8</v>
      </c>
      <c r="Y17" s="275"/>
      <c r="Z17" s="275"/>
      <c r="AA17" s="275"/>
      <c r="AB17" s="275"/>
      <c r="AC17" s="275"/>
      <c r="AD17" s="275"/>
      <c r="AE17" s="275"/>
      <c r="AF17" s="275"/>
      <c r="AG17" s="275"/>
      <c r="AH17" s="275"/>
      <c r="AI17" s="275"/>
      <c r="AJ17" s="275"/>
      <c r="AK17" s="275"/>
      <c r="AL17" s="275"/>
      <c r="AM17" s="275"/>
      <c r="AN17" s="275"/>
      <c r="AO17" s="275"/>
      <c r="AP17" s="275"/>
      <c r="AQ17" s="275"/>
      <c r="AR17" s="275"/>
    </row>
    <row r="18" spans="1:44">
      <c r="A18" s="227" t="s">
        <v>17</v>
      </c>
      <c r="B18" s="228" t="str">
        <f>ITEMS_TRA!C20</f>
        <v>TFHCV5</v>
      </c>
      <c r="C18" s="228" t="str">
        <f>ITEMS_TRA!D20</f>
        <v>Transport Freight - HCV5</v>
      </c>
      <c r="D18" s="228"/>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75"/>
      <c r="T18" s="65">
        <f t="shared" si="6"/>
        <v>0.8</v>
      </c>
      <c r="U18" s="65">
        <f t="shared" si="6"/>
        <v>0.8</v>
      </c>
      <c r="V18" s="65">
        <f t="shared" si="6"/>
        <v>0.8</v>
      </c>
      <c r="W18" s="65">
        <f t="shared" si="6"/>
        <v>0.8</v>
      </c>
      <c r="X18" s="65">
        <f t="shared" si="6"/>
        <v>0.8</v>
      </c>
      <c r="Y18" s="275"/>
      <c r="Z18" s="275"/>
      <c r="AA18" s="275"/>
      <c r="AB18" s="275"/>
      <c r="AC18" s="275"/>
      <c r="AD18" s="275"/>
      <c r="AE18" s="275"/>
      <c r="AF18" s="275"/>
      <c r="AG18" s="275"/>
      <c r="AH18" s="275"/>
      <c r="AI18" s="275"/>
      <c r="AJ18" s="275"/>
      <c r="AK18" s="275"/>
      <c r="AL18" s="275"/>
      <c r="AM18" s="275"/>
      <c r="AN18" s="275"/>
      <c r="AO18" s="275"/>
      <c r="AP18" s="275"/>
      <c r="AQ18" s="275"/>
      <c r="AR18" s="275"/>
    </row>
    <row r="19" spans="1:44">
      <c r="A19" s="227" t="s">
        <v>17</v>
      </c>
      <c r="B19" s="228" t="str">
        <f>ITEMS_TRA!C21</f>
        <v>TFHCV6</v>
      </c>
      <c r="C19" s="228" t="str">
        <f>ITEMS_TRA!D21</f>
        <v>Transport Freight - HCV6</v>
      </c>
      <c r="D19" s="228"/>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75"/>
      <c r="T19" s="65">
        <f t="shared" si="6"/>
        <v>0.8</v>
      </c>
      <c r="U19" s="65">
        <f t="shared" si="6"/>
        <v>0.8</v>
      </c>
      <c r="V19" s="65">
        <f t="shared" si="6"/>
        <v>0.8</v>
      </c>
      <c r="W19" s="65">
        <f t="shared" si="6"/>
        <v>0.8</v>
      </c>
      <c r="X19" s="65">
        <f t="shared" si="6"/>
        <v>0.8</v>
      </c>
      <c r="Y19" s="275"/>
      <c r="Z19" s="275"/>
      <c r="AA19" s="275"/>
      <c r="AB19" s="275"/>
      <c r="AC19" s="275"/>
      <c r="AD19" s="275"/>
      <c r="AE19" s="275"/>
      <c r="AF19" s="275"/>
      <c r="AG19" s="275"/>
      <c r="AH19" s="275"/>
      <c r="AI19" s="275"/>
      <c r="AJ19" s="275"/>
      <c r="AK19" s="275"/>
      <c r="AL19" s="275"/>
      <c r="AM19" s="275"/>
      <c r="AN19" s="275"/>
      <c r="AO19" s="275"/>
      <c r="AP19" s="275"/>
      <c r="AQ19" s="275"/>
      <c r="AR19" s="275"/>
    </row>
    <row r="20" spans="1:44">
      <c r="A20" s="227" t="s">
        <v>17</v>
      </c>
      <c r="B20" s="228" t="str">
        <f>ITEMS_TRA!C22</f>
        <v>TFHCV7</v>
      </c>
      <c r="C20" s="228" t="str">
        <f>ITEMS_TRA!D22</f>
        <v>Transport Freight - HCV7</v>
      </c>
      <c r="D20" s="228"/>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75"/>
      <c r="T20" s="65">
        <f t="shared" si="6"/>
        <v>0.8</v>
      </c>
      <c r="U20" s="65">
        <f t="shared" si="6"/>
        <v>0.8</v>
      </c>
      <c r="V20" s="65">
        <f t="shared" si="6"/>
        <v>0.8</v>
      </c>
      <c r="W20" s="65">
        <f t="shared" si="6"/>
        <v>0.8</v>
      </c>
      <c r="X20" s="65">
        <f t="shared" si="6"/>
        <v>0.8</v>
      </c>
      <c r="Y20" s="275"/>
      <c r="Z20" s="275"/>
      <c r="AA20" s="275"/>
      <c r="AB20" s="275"/>
      <c r="AC20" s="275"/>
      <c r="AD20" s="275"/>
      <c r="AE20" s="275"/>
      <c r="AF20" s="275"/>
      <c r="AG20" s="275"/>
      <c r="AH20" s="275"/>
      <c r="AI20" s="275"/>
      <c r="AJ20" s="275"/>
      <c r="AK20" s="275"/>
      <c r="AL20" s="275"/>
      <c r="AM20" s="275"/>
      <c r="AN20" s="275"/>
      <c r="AO20" s="275"/>
      <c r="AP20" s="275"/>
      <c r="AQ20" s="275"/>
      <c r="AR20" s="275"/>
    </row>
    <row r="21" spans="1:44">
      <c r="A21" s="227" t="s">
        <v>17</v>
      </c>
      <c r="B21" s="228" t="str">
        <f>ITEMS_TRA!C23</f>
        <v>TFHCV8</v>
      </c>
      <c r="C21" s="228" t="str">
        <f>ITEMS_TRA!D23</f>
        <v>Transport Freight - HCV8</v>
      </c>
      <c r="D21" s="228"/>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75"/>
      <c r="T21" s="65">
        <f t="shared" si="6"/>
        <v>0.8</v>
      </c>
      <c r="U21" s="65">
        <f t="shared" si="6"/>
        <v>0.8</v>
      </c>
      <c r="V21" s="65">
        <f t="shared" si="6"/>
        <v>0.8</v>
      </c>
      <c r="W21" s="65">
        <f t="shared" si="6"/>
        <v>0.8</v>
      </c>
      <c r="X21" s="65">
        <f t="shared" si="6"/>
        <v>0.8</v>
      </c>
      <c r="Y21" s="275"/>
      <c r="Z21" s="275"/>
      <c r="AA21" s="275"/>
      <c r="AB21" s="275"/>
      <c r="AC21" s="275"/>
      <c r="AD21" s="275"/>
      <c r="AE21" s="275"/>
      <c r="AF21" s="275"/>
      <c r="AG21" s="275"/>
      <c r="AH21" s="275"/>
      <c r="AI21" s="275"/>
      <c r="AJ21" s="275"/>
      <c r="AK21" s="275"/>
      <c r="AL21" s="275"/>
      <c r="AM21" s="275"/>
      <c r="AN21" s="275"/>
      <c r="AO21" s="275"/>
      <c r="AP21" s="275"/>
      <c r="AQ21" s="275"/>
      <c r="AR21" s="275"/>
    </row>
    <row r="22" spans="1:44">
      <c r="A22" s="227" t="s">
        <v>17</v>
      </c>
      <c r="B22" s="228" t="str">
        <f>ITEMS_TRA!C24</f>
        <v>TFHCV9</v>
      </c>
      <c r="C22" s="228" t="str">
        <f>ITEMS_TRA!D24</f>
        <v>Transport Freight - HCV9</v>
      </c>
      <c r="D22" s="228"/>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75"/>
      <c r="T22" s="65">
        <f t="shared" si="6"/>
        <v>0.8</v>
      </c>
      <c r="U22" s="47">
        <f t="shared" ref="U22:W25" si="10">T22</f>
        <v>0.8</v>
      </c>
      <c r="V22" s="47">
        <f t="shared" si="10"/>
        <v>0.8</v>
      </c>
      <c r="W22" s="47">
        <f t="shared" si="10"/>
        <v>0.8</v>
      </c>
      <c r="X22" s="65">
        <f t="shared" si="6"/>
        <v>0.8</v>
      </c>
      <c r="Y22" s="275"/>
      <c r="Z22" s="275"/>
      <c r="AA22" s="275"/>
      <c r="AB22" s="275"/>
      <c r="AC22" s="275"/>
      <c r="AD22" s="275"/>
      <c r="AE22" s="275"/>
      <c r="AF22" s="275"/>
      <c r="AG22" s="275"/>
      <c r="AH22" s="275"/>
      <c r="AI22" s="275"/>
      <c r="AJ22" s="275"/>
      <c r="AK22" s="275"/>
      <c r="AL22" s="275"/>
      <c r="AM22" s="275"/>
      <c r="AN22" s="275"/>
      <c r="AO22" s="275"/>
      <c r="AP22" s="275"/>
      <c r="AQ22" s="275"/>
      <c r="AR22" s="275"/>
    </row>
    <row r="23" spans="1:44">
      <c r="A23" s="227" t="s">
        <v>17</v>
      </c>
      <c r="B23" s="228" t="str">
        <f>ITEMS_TRA!C25</f>
        <v>TFRCO</v>
      </c>
      <c r="C23" s="228" t="str">
        <f>ITEMS_TRA!D25</f>
        <v>Transport Freight - Rail Corridor</v>
      </c>
      <c r="D23" s="228"/>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75"/>
      <c r="T23" s="65">
        <f t="shared" si="6"/>
        <v>0.8</v>
      </c>
      <c r="U23" s="47">
        <f t="shared" si="10"/>
        <v>0.8</v>
      </c>
      <c r="V23" s="47">
        <f t="shared" si="10"/>
        <v>0.8</v>
      </c>
      <c r="W23" s="47">
        <f t="shared" si="10"/>
        <v>0.8</v>
      </c>
      <c r="X23" s="65">
        <f t="shared" si="6"/>
        <v>0.8</v>
      </c>
      <c r="Y23" s="275"/>
      <c r="Z23" s="275"/>
      <c r="AA23" s="275"/>
      <c r="AB23" s="275"/>
      <c r="AC23" s="275"/>
      <c r="AD23" s="275"/>
      <c r="AE23" s="275"/>
      <c r="AF23" s="275"/>
      <c r="AG23" s="275"/>
      <c r="AH23" s="275"/>
      <c r="AI23" s="275"/>
      <c r="AJ23" s="275"/>
      <c r="AK23" s="275"/>
      <c r="AL23" s="275"/>
      <c r="AM23" s="275"/>
      <c r="AN23" s="275"/>
      <c r="AO23" s="275"/>
      <c r="AP23" s="275"/>
      <c r="AQ23" s="275"/>
      <c r="AR23" s="275"/>
    </row>
    <row r="24" spans="1:44">
      <c r="A24" s="227" t="s">
        <v>17</v>
      </c>
      <c r="B24" s="228" t="str">
        <f>ITEMS_TRA!C26</f>
        <v>TFROT</v>
      </c>
      <c r="C24" s="228"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75"/>
      <c r="T24" s="65">
        <f t="shared" si="6"/>
        <v>0.8</v>
      </c>
      <c r="U24" s="47">
        <f t="shared" si="10"/>
        <v>0.8</v>
      </c>
      <c r="V24" s="47">
        <f t="shared" si="10"/>
        <v>0.8</v>
      </c>
      <c r="W24" s="47">
        <f t="shared" si="10"/>
        <v>0.8</v>
      </c>
      <c r="X24" s="65">
        <f t="shared" si="6"/>
        <v>0.8</v>
      </c>
      <c r="Y24" s="275"/>
      <c r="Z24" s="275"/>
      <c r="AA24" s="275"/>
      <c r="AB24" s="275"/>
      <c r="AC24" s="275"/>
      <c r="AD24" s="275"/>
      <c r="AE24" s="275"/>
      <c r="AF24" s="275"/>
      <c r="AG24" s="275"/>
      <c r="AH24" s="275"/>
      <c r="AI24" s="275"/>
      <c r="AJ24" s="275"/>
      <c r="AK24" s="275"/>
      <c r="AL24" s="275"/>
      <c r="AM24" s="275"/>
      <c r="AN24" s="275"/>
      <c r="AO24" s="275"/>
      <c r="AP24" s="275"/>
      <c r="AQ24" s="275"/>
      <c r="AR24" s="275"/>
    </row>
    <row r="25" spans="1:44">
      <c r="A25" s="227" t="s">
        <v>17</v>
      </c>
      <c r="B25" s="228" t="str">
        <f>ITEMS_TRA!C27</f>
        <v>TFREX</v>
      </c>
      <c r="C25" s="228"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75"/>
      <c r="T25" s="65">
        <f t="shared" si="6"/>
        <v>0.8</v>
      </c>
      <c r="U25" s="47">
        <f t="shared" si="10"/>
        <v>0.8</v>
      </c>
      <c r="V25" s="47">
        <f t="shared" si="10"/>
        <v>0.8</v>
      </c>
      <c r="W25" s="47">
        <f t="shared" si="10"/>
        <v>0.8</v>
      </c>
      <c r="X25" s="65">
        <f t="shared" si="6"/>
        <v>0.8</v>
      </c>
      <c r="Y25" s="275"/>
      <c r="Z25" s="275"/>
      <c r="AA25" s="275"/>
      <c r="AB25" s="275"/>
      <c r="AC25" s="275"/>
      <c r="AD25" s="275"/>
      <c r="AE25" s="275"/>
      <c r="AF25" s="275"/>
      <c r="AG25" s="275"/>
      <c r="AH25" s="275"/>
      <c r="AI25" s="275"/>
      <c r="AJ25" s="275"/>
      <c r="AK25" s="275"/>
      <c r="AL25" s="275"/>
      <c r="AM25" s="275"/>
      <c r="AN25" s="275"/>
      <c r="AO25" s="275"/>
      <c r="AP25" s="275"/>
      <c r="AQ25" s="275"/>
      <c r="AR25" s="275"/>
    </row>
    <row r="26" spans="1:44">
      <c r="A26" s="227" t="s">
        <v>17</v>
      </c>
      <c r="B26" s="228"/>
      <c r="C26" s="228"/>
      <c r="N26" s="228"/>
      <c r="O26" s="228"/>
      <c r="P26" s="228"/>
      <c r="Q26" s="228"/>
      <c r="R26" s="228"/>
      <c r="S26" s="228"/>
      <c r="T26" s="228"/>
      <c r="U26" s="228"/>
      <c r="V26" s="228"/>
      <c r="W26" s="228"/>
      <c r="X26" s="228"/>
      <c r="Y26" s="228"/>
      <c r="Z26" s="228"/>
      <c r="AA26" s="228"/>
      <c r="AB26" s="228"/>
      <c r="AC26" s="228"/>
      <c r="AD26" s="228"/>
      <c r="AE26" s="228"/>
      <c r="AF26" s="228"/>
      <c r="AG26" s="228"/>
      <c r="AH26" s="228"/>
      <c r="AI26" s="228"/>
      <c r="AJ26" s="228"/>
      <c r="AK26" s="228"/>
      <c r="AL26" s="228"/>
      <c r="AM26" s="228"/>
      <c r="AN26" s="228"/>
      <c r="AO26" s="228"/>
      <c r="AP26" s="228"/>
      <c r="AQ26" s="228"/>
      <c r="AR26" s="228"/>
    </row>
    <row r="27" spans="1:44" ht="15" thickBot="1">
      <c r="A27" s="227" t="s">
        <v>17</v>
      </c>
      <c r="B27" s="14" t="s">
        <v>154</v>
      </c>
      <c r="C27" s="14"/>
      <c r="D27" s="224">
        <f>INDEX($BD$4:$BD$7,MATCH($D$3,$BA$4:$BA$7,0))</f>
        <v>0.95</v>
      </c>
    </row>
    <row r="28" spans="1:44">
      <c r="A28" s="227" t="s">
        <v>17</v>
      </c>
      <c r="B28" s="228" t="str">
        <f>B15</f>
        <v>TFHCV2</v>
      </c>
      <c r="C28" s="228" t="str">
        <f>C15</f>
        <v>Transport Freight - HCV2</v>
      </c>
      <c r="D28" s="227" t="s">
        <v>49</v>
      </c>
      <c r="F28" s="276">
        <f>F51/F$60</f>
        <v>1.4220434532326132E-2</v>
      </c>
      <c r="G28" s="66">
        <f t="shared" ref="G28:H35" si="11">F28</f>
        <v>1.4220434532326132E-2</v>
      </c>
      <c r="H28" s="66">
        <f t="shared" si="11"/>
        <v>1.4220434532326132E-2</v>
      </c>
      <c r="I28" s="66">
        <f>IF($D$4,U28,O28)</f>
        <v>1.4220434532326132E-2</v>
      </c>
      <c r="J28" s="66">
        <f>IF($D$4,V28,P28)</f>
        <v>1.4220434532326132E-2</v>
      </c>
      <c r="K28" s="66">
        <f>IF($D$4,W28,Q28)</f>
        <v>1.4220434532326132E-2</v>
      </c>
      <c r="L28" s="66">
        <f>IF($D$4,X28,R28)</f>
        <v>1.4220434532326132E-2</v>
      </c>
      <c r="N28" s="277">
        <f>$G28</f>
        <v>1.4220434532326132E-2</v>
      </c>
      <c r="O28" s="35">
        <f>N28</f>
        <v>1.4220434532326132E-2</v>
      </c>
      <c r="P28" s="35">
        <f>O28</f>
        <v>1.4220434532326132E-2</v>
      </c>
      <c r="Q28" s="35">
        <f>P28</f>
        <v>1.4220434532326132E-2</v>
      </c>
      <c r="R28" s="35">
        <f>P28</f>
        <v>1.4220434532326132E-2</v>
      </c>
      <c r="S28" s="278"/>
      <c r="T28" s="277">
        <f>$G28</f>
        <v>1.4220434532326132E-2</v>
      </c>
      <c r="U28" s="77">
        <f>T28*$D$27</f>
        <v>1.3509412805709824E-2</v>
      </c>
      <c r="V28" s="77">
        <f t="shared" ref="V28:X35" si="12">IF(INDEX($BE$4:$BE$7,MATCH($D$3,$BA$4:$BA$7,0)),U28*$D$27,U28)</f>
        <v>1.2833942165424331E-2</v>
      </c>
      <c r="W28" s="77">
        <f t="shared" si="12"/>
        <v>1.2192245057153115E-2</v>
      </c>
      <c r="X28" s="77">
        <f t="shared" si="12"/>
        <v>1.1582632804295459E-2</v>
      </c>
      <c r="Y28" s="278"/>
      <c r="Z28" s="278"/>
      <c r="AA28" s="278"/>
      <c r="AB28" s="278"/>
      <c r="AC28" s="278"/>
      <c r="AD28" s="278"/>
      <c r="AE28" s="278"/>
      <c r="AF28" s="278"/>
      <c r="AG28" s="278"/>
      <c r="AH28" s="278"/>
      <c r="AI28" s="278"/>
      <c r="AJ28" s="278"/>
      <c r="AK28" s="278"/>
      <c r="AL28" s="278"/>
      <c r="AM28" s="278"/>
      <c r="AN28" s="278"/>
      <c r="AO28" s="278"/>
      <c r="AP28" s="278"/>
      <c r="AQ28" s="278"/>
      <c r="AR28" s="278"/>
    </row>
    <row r="29" spans="1:44">
      <c r="A29" s="227" t="s">
        <v>17</v>
      </c>
      <c r="B29" s="228" t="str">
        <f t="shared" ref="B29:C35" si="13">B16</f>
        <v>TFHCV3</v>
      </c>
      <c r="C29" s="228" t="str">
        <f t="shared" si="13"/>
        <v>Transport Freight - HCV3</v>
      </c>
      <c r="F29" s="276">
        <f>F52/F$60</f>
        <v>9.0893720878787748E-2</v>
      </c>
      <c r="G29" s="66">
        <f t="shared" si="11"/>
        <v>9.0893720878787748E-2</v>
      </c>
      <c r="H29" s="66">
        <f t="shared" si="11"/>
        <v>9.0893720878787748E-2</v>
      </c>
      <c r="I29" s="66">
        <f t="shared" ref="I29:L35" si="14">IF($D$4,U29,O29)</f>
        <v>9.0893720878787748E-2</v>
      </c>
      <c r="J29" s="66">
        <f t="shared" si="14"/>
        <v>9.0893720878787748E-2</v>
      </c>
      <c r="K29" s="66">
        <f t="shared" si="14"/>
        <v>9.0893720878787748E-2</v>
      </c>
      <c r="L29" s="66">
        <f t="shared" si="14"/>
        <v>9.0893720878787748E-2</v>
      </c>
      <c r="N29" s="277">
        <f t="shared" ref="N29:N35" si="15">$G29</f>
        <v>9.0893720878787748E-2</v>
      </c>
      <c r="O29" s="35">
        <f t="shared" ref="O29:Q35" si="16">N29</f>
        <v>9.0893720878787748E-2</v>
      </c>
      <c r="P29" s="35">
        <f t="shared" si="16"/>
        <v>9.0893720878787748E-2</v>
      </c>
      <c r="Q29" s="35">
        <f t="shared" si="16"/>
        <v>9.0893720878787748E-2</v>
      </c>
      <c r="R29" s="35">
        <f t="shared" ref="R29:R35" si="17">P29</f>
        <v>9.0893720878787748E-2</v>
      </c>
      <c r="S29" s="278"/>
      <c r="T29" s="277">
        <f t="shared" ref="T29:T35" si="18">$G29</f>
        <v>9.0893720878787748E-2</v>
      </c>
      <c r="U29" s="77">
        <f t="shared" ref="U29:U35" si="19">T29*$D$27</f>
        <v>8.6349034834848362E-2</v>
      </c>
      <c r="V29" s="77">
        <f t="shared" si="12"/>
        <v>8.2031583093105945E-2</v>
      </c>
      <c r="W29" s="77">
        <f t="shared" si="12"/>
        <v>7.7930003938450648E-2</v>
      </c>
      <c r="X29" s="77">
        <f t="shared" si="12"/>
        <v>7.4033503741528117E-2</v>
      </c>
      <c r="Y29" s="278"/>
      <c r="Z29" s="278"/>
      <c r="AA29" s="278"/>
      <c r="AB29" s="278"/>
      <c r="AC29" s="278"/>
      <c r="AD29" s="278"/>
      <c r="AE29" s="278"/>
      <c r="AF29" s="278"/>
      <c r="AG29" s="278"/>
      <c r="AH29" s="278"/>
      <c r="AI29" s="278"/>
      <c r="AJ29" s="278"/>
      <c r="AK29" s="278"/>
      <c r="AL29" s="278"/>
      <c r="AM29" s="278"/>
      <c r="AN29" s="278"/>
      <c r="AO29" s="278"/>
      <c r="AP29" s="278"/>
      <c r="AQ29" s="278"/>
      <c r="AR29" s="278"/>
    </row>
    <row r="30" spans="1:44">
      <c r="A30" s="227" t="s">
        <v>17</v>
      </c>
      <c r="B30" s="228" t="str">
        <f t="shared" si="13"/>
        <v>TFHCV4</v>
      </c>
      <c r="C30" s="228" t="str">
        <f t="shared" si="13"/>
        <v>Transport Freight - HCV4</v>
      </c>
      <c r="F30" s="276">
        <f t="shared" ref="F30:F36" si="20">F53/F$60</f>
        <v>2.9729785023252794E-2</v>
      </c>
      <c r="G30" s="66">
        <f t="shared" si="11"/>
        <v>2.9729785023252794E-2</v>
      </c>
      <c r="H30" s="66">
        <f t="shared" si="11"/>
        <v>2.9729785023252794E-2</v>
      </c>
      <c r="I30" s="66">
        <f t="shared" si="14"/>
        <v>2.9729785023252794E-2</v>
      </c>
      <c r="J30" s="66">
        <f t="shared" si="14"/>
        <v>2.9729785023252794E-2</v>
      </c>
      <c r="K30" s="66">
        <f t="shared" si="14"/>
        <v>2.9729785023252794E-2</v>
      </c>
      <c r="L30" s="66">
        <f t="shared" si="14"/>
        <v>2.9729785023252794E-2</v>
      </c>
      <c r="N30" s="277">
        <f t="shared" si="15"/>
        <v>2.9729785023252794E-2</v>
      </c>
      <c r="O30" s="35">
        <f t="shared" si="16"/>
        <v>2.9729785023252794E-2</v>
      </c>
      <c r="P30" s="35">
        <f t="shared" si="16"/>
        <v>2.9729785023252794E-2</v>
      </c>
      <c r="Q30" s="35">
        <f t="shared" si="16"/>
        <v>2.9729785023252794E-2</v>
      </c>
      <c r="R30" s="35">
        <f t="shared" si="17"/>
        <v>2.9729785023252794E-2</v>
      </c>
      <c r="S30" s="278"/>
      <c r="T30" s="277">
        <f t="shared" si="18"/>
        <v>2.9729785023252794E-2</v>
      </c>
      <c r="U30" s="77">
        <f t="shared" si="19"/>
        <v>2.8243295772090154E-2</v>
      </c>
      <c r="V30" s="77">
        <f t="shared" si="12"/>
        <v>2.6831130983485645E-2</v>
      </c>
      <c r="W30" s="77">
        <f t="shared" si="12"/>
        <v>2.5489574434311362E-2</v>
      </c>
      <c r="X30" s="77">
        <f t="shared" si="12"/>
        <v>2.4215095712595794E-2</v>
      </c>
      <c r="Y30" s="278"/>
      <c r="Z30" s="278"/>
      <c r="AA30" s="278"/>
      <c r="AB30" s="278"/>
      <c r="AC30" s="278"/>
      <c r="AD30" s="278"/>
      <c r="AE30" s="278"/>
      <c r="AF30" s="278"/>
      <c r="AG30" s="278"/>
      <c r="AH30" s="278"/>
      <c r="AI30" s="278"/>
      <c r="AJ30" s="278"/>
      <c r="AK30" s="278"/>
      <c r="AL30" s="278"/>
      <c r="AM30" s="278"/>
      <c r="AN30" s="278"/>
      <c r="AO30" s="278"/>
      <c r="AP30" s="278"/>
      <c r="AQ30" s="278"/>
      <c r="AR30" s="278"/>
    </row>
    <row r="31" spans="1:44">
      <c r="A31" s="227" t="s">
        <v>17</v>
      </c>
      <c r="B31" s="228" t="str">
        <f t="shared" si="13"/>
        <v>TFHCV5</v>
      </c>
      <c r="C31" s="228" t="str">
        <f t="shared" si="13"/>
        <v>Transport Freight - HCV5</v>
      </c>
      <c r="F31" s="276">
        <f t="shared" si="20"/>
        <v>1.7744085230150086E-2</v>
      </c>
      <c r="G31" s="66">
        <f t="shared" si="11"/>
        <v>1.7744085230150086E-2</v>
      </c>
      <c r="H31" s="66">
        <f t="shared" si="11"/>
        <v>1.7744085230150086E-2</v>
      </c>
      <c r="I31" s="66">
        <f t="shared" si="14"/>
        <v>1.7744085230150086E-2</v>
      </c>
      <c r="J31" s="66">
        <f t="shared" si="14"/>
        <v>1.7744085230150086E-2</v>
      </c>
      <c r="K31" s="66">
        <f t="shared" si="14"/>
        <v>1.7744085230150086E-2</v>
      </c>
      <c r="L31" s="66">
        <f t="shared" si="14"/>
        <v>1.7744085230150086E-2</v>
      </c>
      <c r="N31" s="277">
        <f t="shared" si="15"/>
        <v>1.7744085230150086E-2</v>
      </c>
      <c r="O31" s="35">
        <f t="shared" si="16"/>
        <v>1.7744085230150086E-2</v>
      </c>
      <c r="P31" s="35">
        <f t="shared" si="16"/>
        <v>1.7744085230150086E-2</v>
      </c>
      <c r="Q31" s="35">
        <f t="shared" si="16"/>
        <v>1.7744085230150086E-2</v>
      </c>
      <c r="R31" s="35">
        <f t="shared" si="17"/>
        <v>1.7744085230150086E-2</v>
      </c>
      <c r="S31" s="278"/>
      <c r="T31" s="277">
        <f t="shared" si="18"/>
        <v>1.7744085230150086E-2</v>
      </c>
      <c r="U31" s="77">
        <f t="shared" si="19"/>
        <v>1.6856880968642581E-2</v>
      </c>
      <c r="V31" s="77">
        <f t="shared" si="12"/>
        <v>1.6014036920210452E-2</v>
      </c>
      <c r="W31" s="77">
        <f t="shared" si="12"/>
        <v>1.5213335074199929E-2</v>
      </c>
      <c r="X31" s="77">
        <f t="shared" si="12"/>
        <v>1.4452668320489932E-2</v>
      </c>
      <c r="Y31" s="278"/>
      <c r="Z31" s="278"/>
      <c r="AA31" s="278"/>
      <c r="AB31" s="278"/>
      <c r="AC31" s="278"/>
      <c r="AD31" s="278"/>
      <c r="AE31" s="278"/>
      <c r="AF31" s="278"/>
      <c r="AG31" s="278"/>
      <c r="AH31" s="278"/>
      <c r="AI31" s="278"/>
      <c r="AJ31" s="278"/>
      <c r="AK31" s="278"/>
      <c r="AL31" s="278"/>
      <c r="AM31" s="278"/>
      <c r="AN31" s="278"/>
      <c r="AO31" s="278"/>
      <c r="AP31" s="278"/>
      <c r="AQ31" s="278"/>
      <c r="AR31" s="278"/>
    </row>
    <row r="32" spans="1:44">
      <c r="A32" s="227" t="s">
        <v>17</v>
      </c>
      <c r="B32" s="228" t="str">
        <f t="shared" si="13"/>
        <v>TFHCV6</v>
      </c>
      <c r="C32" s="228" t="str">
        <f t="shared" si="13"/>
        <v>Transport Freight - HCV6</v>
      </c>
      <c r="F32" s="276">
        <f t="shared" si="20"/>
        <v>0.45053689946184705</v>
      </c>
      <c r="G32" s="66">
        <f t="shared" si="11"/>
        <v>0.45053689946184705</v>
      </c>
      <c r="H32" s="66">
        <f t="shared" si="11"/>
        <v>0.45053689946184705</v>
      </c>
      <c r="I32" s="66">
        <f t="shared" si="14"/>
        <v>0.45053689946184705</v>
      </c>
      <c r="J32" s="66">
        <f t="shared" si="14"/>
        <v>0.45053689946184705</v>
      </c>
      <c r="K32" s="66">
        <f t="shared" si="14"/>
        <v>0.45053689946184705</v>
      </c>
      <c r="L32" s="66">
        <f t="shared" si="14"/>
        <v>0.45053689946184705</v>
      </c>
      <c r="N32" s="277">
        <f t="shared" si="15"/>
        <v>0.45053689946184705</v>
      </c>
      <c r="O32" s="35">
        <f t="shared" si="16"/>
        <v>0.45053689946184705</v>
      </c>
      <c r="P32" s="35">
        <f t="shared" si="16"/>
        <v>0.45053689946184705</v>
      </c>
      <c r="Q32" s="35">
        <f t="shared" si="16"/>
        <v>0.45053689946184705</v>
      </c>
      <c r="R32" s="35">
        <f t="shared" si="17"/>
        <v>0.45053689946184705</v>
      </c>
      <c r="S32" s="278"/>
      <c r="T32" s="277">
        <f t="shared" si="18"/>
        <v>0.45053689946184705</v>
      </c>
      <c r="U32" s="77">
        <f t="shared" si="19"/>
        <v>0.42801005448875468</v>
      </c>
      <c r="V32" s="77">
        <f t="shared" si="12"/>
        <v>0.4066095517643169</v>
      </c>
      <c r="W32" s="77">
        <f t="shared" si="12"/>
        <v>0.38627907417610102</v>
      </c>
      <c r="X32" s="77">
        <f t="shared" si="12"/>
        <v>0.36696512046729596</v>
      </c>
      <c r="Y32" s="278"/>
      <c r="Z32" s="278"/>
      <c r="AA32" s="278"/>
      <c r="AB32" s="278"/>
      <c r="AC32" s="278"/>
      <c r="AD32" s="278"/>
      <c r="AE32" s="278"/>
      <c r="AF32" s="278"/>
      <c r="AG32" s="278"/>
      <c r="AH32" s="278"/>
      <c r="AI32" s="278"/>
      <c r="AJ32" s="278"/>
      <c r="AK32" s="278"/>
      <c r="AL32" s="278"/>
      <c r="AM32" s="278"/>
      <c r="AN32" s="278"/>
      <c r="AO32" s="278"/>
      <c r="AP32" s="278"/>
      <c r="AQ32" s="278"/>
      <c r="AR32" s="278"/>
    </row>
    <row r="33" spans="1:44">
      <c r="A33" s="227" t="s">
        <v>17</v>
      </c>
      <c r="B33" s="228" t="str">
        <f t="shared" si="13"/>
        <v>TFHCV7</v>
      </c>
      <c r="C33" s="228" t="str">
        <f t="shared" si="13"/>
        <v>Transport Freight - HCV7</v>
      </c>
      <c r="F33" s="276">
        <f t="shared" si="20"/>
        <v>0.18933178301407438</v>
      </c>
      <c r="G33" s="66">
        <f t="shared" si="11"/>
        <v>0.18933178301407438</v>
      </c>
      <c r="H33" s="66">
        <f t="shared" si="11"/>
        <v>0.18933178301407438</v>
      </c>
      <c r="I33" s="66">
        <f t="shared" si="14"/>
        <v>0.18933178301407438</v>
      </c>
      <c r="J33" s="66">
        <f t="shared" si="14"/>
        <v>0.18933178301407438</v>
      </c>
      <c r="K33" s="66">
        <f t="shared" si="14"/>
        <v>0.18933178301407438</v>
      </c>
      <c r="L33" s="66">
        <f t="shared" si="14"/>
        <v>0.18933178301407438</v>
      </c>
      <c r="N33" s="277">
        <f t="shared" si="15"/>
        <v>0.18933178301407438</v>
      </c>
      <c r="O33" s="35">
        <f t="shared" si="16"/>
        <v>0.18933178301407438</v>
      </c>
      <c r="P33" s="35">
        <f t="shared" si="16"/>
        <v>0.18933178301407438</v>
      </c>
      <c r="Q33" s="35">
        <f t="shared" si="16"/>
        <v>0.18933178301407438</v>
      </c>
      <c r="R33" s="35">
        <f t="shared" si="17"/>
        <v>0.18933178301407438</v>
      </c>
      <c r="S33" s="278"/>
      <c r="T33" s="277">
        <f>$G33</f>
        <v>0.18933178301407438</v>
      </c>
      <c r="U33" s="77">
        <f t="shared" si="19"/>
        <v>0.17986519386337066</v>
      </c>
      <c r="V33" s="77">
        <f t="shared" si="12"/>
        <v>0.17087193417020211</v>
      </c>
      <c r="W33" s="77">
        <f t="shared" si="12"/>
        <v>0.16232833746169198</v>
      </c>
      <c r="X33" s="77">
        <f t="shared" si="12"/>
        <v>0.15421192058860736</v>
      </c>
      <c r="Y33" s="278"/>
      <c r="Z33" s="278"/>
      <c r="AA33" s="278"/>
      <c r="AB33" s="278"/>
      <c r="AC33" s="278"/>
      <c r="AD33" s="278"/>
      <c r="AE33" s="278"/>
      <c r="AF33" s="278"/>
      <c r="AG33" s="278"/>
      <c r="AH33" s="278"/>
      <c r="AI33" s="278"/>
      <c r="AJ33" s="278"/>
      <c r="AK33" s="278"/>
      <c r="AL33" s="278"/>
      <c r="AM33" s="278"/>
      <c r="AN33" s="278"/>
      <c r="AO33" s="278"/>
      <c r="AP33" s="278"/>
      <c r="AQ33" s="278"/>
      <c r="AR33" s="278"/>
    </row>
    <row r="34" spans="1:44">
      <c r="A34" s="227" t="s">
        <v>17</v>
      </c>
      <c r="B34" s="228" t="str">
        <f t="shared" si="13"/>
        <v>TFHCV8</v>
      </c>
      <c r="C34" s="228" t="str">
        <f t="shared" si="13"/>
        <v>Transport Freight - HCV8</v>
      </c>
      <c r="F34" s="276">
        <f t="shared" si="20"/>
        <v>8.9006864290389742E-3</v>
      </c>
      <c r="G34" s="66">
        <f t="shared" si="11"/>
        <v>8.9006864290389742E-3</v>
      </c>
      <c r="H34" s="66">
        <f t="shared" si="11"/>
        <v>8.9006864290389742E-3</v>
      </c>
      <c r="I34" s="66">
        <f t="shared" si="14"/>
        <v>8.9006864290389742E-3</v>
      </c>
      <c r="J34" s="66">
        <f t="shared" si="14"/>
        <v>8.9006864290389742E-3</v>
      </c>
      <c r="K34" s="66">
        <f t="shared" si="14"/>
        <v>8.9006864290389742E-3</v>
      </c>
      <c r="L34" s="66">
        <f t="shared" si="14"/>
        <v>8.9006864290389742E-3</v>
      </c>
      <c r="N34" s="277">
        <f t="shared" si="15"/>
        <v>8.9006864290389742E-3</v>
      </c>
      <c r="O34" s="35">
        <f t="shared" si="16"/>
        <v>8.9006864290389742E-3</v>
      </c>
      <c r="P34" s="35">
        <f t="shared" si="16"/>
        <v>8.9006864290389742E-3</v>
      </c>
      <c r="Q34" s="35">
        <f t="shared" si="16"/>
        <v>8.9006864290389742E-3</v>
      </c>
      <c r="R34" s="35">
        <f t="shared" si="17"/>
        <v>8.9006864290389742E-3</v>
      </c>
      <c r="S34" s="278"/>
      <c r="T34" s="277">
        <f t="shared" si="18"/>
        <v>8.9006864290389742E-3</v>
      </c>
      <c r="U34" s="77">
        <f t="shared" si="19"/>
        <v>8.4556521075870254E-3</v>
      </c>
      <c r="V34" s="77">
        <f t="shared" si="12"/>
        <v>8.0328695022076745E-3</v>
      </c>
      <c r="W34" s="77">
        <f t="shared" si="12"/>
        <v>7.6312260270972902E-3</v>
      </c>
      <c r="X34" s="77">
        <f t="shared" si="12"/>
        <v>7.2496647257424256E-3</v>
      </c>
      <c r="Y34" s="278"/>
      <c r="Z34" s="278"/>
      <c r="AA34" s="278"/>
      <c r="AB34" s="278"/>
      <c r="AC34" s="278"/>
      <c r="AD34" s="278"/>
      <c r="AE34" s="278"/>
      <c r="AF34" s="278"/>
      <c r="AG34" s="278"/>
      <c r="AH34" s="278"/>
      <c r="AI34" s="278"/>
      <c r="AJ34" s="278"/>
      <c r="AK34" s="278"/>
      <c r="AL34" s="278"/>
      <c r="AM34" s="278"/>
      <c r="AN34" s="278"/>
      <c r="AO34" s="278"/>
      <c r="AP34" s="278"/>
      <c r="AQ34" s="278"/>
      <c r="AR34" s="278"/>
    </row>
    <row r="35" spans="1:44">
      <c r="A35" s="227" t="s">
        <v>17</v>
      </c>
      <c r="B35" s="228" t="str">
        <f t="shared" si="13"/>
        <v>TFHCV9</v>
      </c>
      <c r="C35" s="228" t="str">
        <f t="shared" si="13"/>
        <v>Transport Freight - HCV9</v>
      </c>
      <c r="F35" s="276">
        <f t="shared" si="20"/>
        <v>7.6032157076654245E-3</v>
      </c>
      <c r="G35" s="66">
        <f t="shared" si="11"/>
        <v>7.6032157076654245E-3</v>
      </c>
      <c r="H35" s="66">
        <f t="shared" si="11"/>
        <v>7.6032157076654245E-3</v>
      </c>
      <c r="I35" s="66">
        <f t="shared" si="14"/>
        <v>7.6032157076654245E-3</v>
      </c>
      <c r="J35" s="66">
        <f t="shared" si="14"/>
        <v>7.6032157076654245E-3</v>
      </c>
      <c r="K35" s="66">
        <f t="shared" si="14"/>
        <v>7.6032157076654245E-3</v>
      </c>
      <c r="L35" s="66">
        <f t="shared" si="14"/>
        <v>7.6032157076654245E-3</v>
      </c>
      <c r="N35" s="277">
        <f t="shared" si="15"/>
        <v>7.6032157076654245E-3</v>
      </c>
      <c r="O35" s="35">
        <f t="shared" si="16"/>
        <v>7.6032157076654245E-3</v>
      </c>
      <c r="P35" s="35">
        <f t="shared" si="16"/>
        <v>7.6032157076654245E-3</v>
      </c>
      <c r="Q35" s="35">
        <f t="shared" si="16"/>
        <v>7.6032157076654245E-3</v>
      </c>
      <c r="R35" s="35">
        <f t="shared" si="17"/>
        <v>7.6032157076654245E-3</v>
      </c>
      <c r="S35" s="278"/>
      <c r="T35" s="277">
        <f t="shared" si="18"/>
        <v>7.6032157076654245E-3</v>
      </c>
      <c r="U35" s="77">
        <f t="shared" si="19"/>
        <v>7.223054922282153E-3</v>
      </c>
      <c r="V35" s="77">
        <f t="shared" si="12"/>
        <v>6.861902176168045E-3</v>
      </c>
      <c r="W35" s="77">
        <f t="shared" si="12"/>
        <v>6.5188070673596428E-3</v>
      </c>
      <c r="X35" s="77">
        <f t="shared" si="12"/>
        <v>6.1928667139916601E-3</v>
      </c>
      <c r="Y35" s="278"/>
      <c r="Z35" s="278"/>
      <c r="AA35" s="278"/>
      <c r="AB35" s="278"/>
      <c r="AC35" s="278"/>
      <c r="AD35" s="278"/>
      <c r="AE35" s="278"/>
      <c r="AF35" s="278"/>
      <c r="AG35" s="278"/>
      <c r="AH35" s="278"/>
      <c r="AI35" s="278"/>
      <c r="AJ35" s="278"/>
      <c r="AK35" s="278"/>
      <c r="AL35" s="278"/>
      <c r="AM35" s="278"/>
      <c r="AN35" s="278"/>
      <c r="AO35" s="278"/>
      <c r="AP35" s="278"/>
      <c r="AQ35" s="278"/>
      <c r="AR35" s="278"/>
    </row>
    <row r="36" spans="1:44">
      <c r="A36" s="227" t="s">
        <v>17</v>
      </c>
      <c r="B36" s="228" t="str">
        <f>B23</f>
        <v>TFRCO</v>
      </c>
      <c r="C36" s="228" t="str">
        <f>C23</f>
        <v>Transport Freight - Rail Corridor</v>
      </c>
      <c r="D36" s="227" t="s">
        <v>49</v>
      </c>
      <c r="F36" s="276">
        <f t="shared" si="20"/>
        <v>0.19103938972285742</v>
      </c>
      <c r="G36" s="66">
        <f t="shared" ref="G36:L36" si="21">1-SUM(G28:G35)</f>
        <v>0.19103938972285739</v>
      </c>
      <c r="H36" s="66">
        <f t="shared" si="21"/>
        <v>0.19103938972285739</v>
      </c>
      <c r="I36" s="66">
        <f t="shared" si="21"/>
        <v>0.19103938972285739</v>
      </c>
      <c r="J36" s="66">
        <f t="shared" si="21"/>
        <v>0.19103938972285739</v>
      </c>
      <c r="K36" s="66">
        <f t="shared" si="21"/>
        <v>0.19103938972285739</v>
      </c>
      <c r="L36" s="66">
        <f t="shared" si="21"/>
        <v>0.19103938972285739</v>
      </c>
      <c r="N36" s="277">
        <f>$G36</f>
        <v>0.19103938972285739</v>
      </c>
      <c r="O36" s="66">
        <f>1-SUM(O28:O35)</f>
        <v>0.19103938972285739</v>
      </c>
      <c r="P36" s="66">
        <f>1-SUM(P28:P35)</f>
        <v>0.19103938972285739</v>
      </c>
      <c r="Q36" s="66">
        <f>1-SUM(Q28:Q35)</f>
        <v>0.19103938972285739</v>
      </c>
      <c r="R36" s="66">
        <f>1-SUM(R28:R35)</f>
        <v>0.19103938972285739</v>
      </c>
      <c r="S36" s="278"/>
      <c r="T36" s="277">
        <f>$G36</f>
        <v>0.19103938972285739</v>
      </c>
      <c r="U36" s="66">
        <f>1-SUM(U28:U35)</f>
        <v>0.23148742023671465</v>
      </c>
      <c r="V36" s="66">
        <f>1-SUM(V28:V35)</f>
        <v>0.26991304922487891</v>
      </c>
      <c r="W36" s="66">
        <f>1-SUM(W28:W35)</f>
        <v>0.306417396763635</v>
      </c>
      <c r="X36" s="66">
        <f>1-SUM(X28:X35)</f>
        <v>0.34109652692545334</v>
      </c>
      <c r="Y36" s="278"/>
      <c r="Z36" s="278"/>
      <c r="AA36" s="278"/>
      <c r="AB36" s="278"/>
      <c r="AC36" s="278"/>
      <c r="AD36" s="278"/>
      <c r="AE36" s="278"/>
      <c r="AF36" s="278"/>
      <c r="AG36" s="278"/>
      <c r="AH36" s="278"/>
      <c r="AI36" s="278"/>
      <c r="AJ36" s="278"/>
      <c r="AK36" s="278"/>
      <c r="AL36" s="278"/>
      <c r="AM36" s="278"/>
      <c r="AN36" s="278"/>
      <c r="AO36" s="278"/>
      <c r="AP36" s="278"/>
      <c r="AQ36" s="278"/>
      <c r="AR36" s="278"/>
    </row>
    <row r="37" spans="1:44">
      <c r="A37" s="227" t="s">
        <v>17</v>
      </c>
    </row>
    <row r="38" spans="1:44" ht="15" thickBot="1">
      <c r="A38" s="227" t="s">
        <v>17</v>
      </c>
      <c r="B38" s="14" t="s">
        <v>453</v>
      </c>
      <c r="C38" s="14"/>
      <c r="D38" s="14"/>
    </row>
    <row r="39" spans="1:44">
      <c r="A39" s="227" t="s">
        <v>17</v>
      </c>
      <c r="B39" s="228" t="str">
        <f>B14</f>
        <v>TFHCV1</v>
      </c>
      <c r="C39" s="228" t="str">
        <f>C14</f>
        <v>Transport Freight - HCV1</v>
      </c>
      <c r="D39" s="227" t="s">
        <v>49</v>
      </c>
      <c r="F39" s="276">
        <f>F46/F$48</f>
        <v>0.16368552231058403</v>
      </c>
      <c r="G39" s="66">
        <f>IF($D$4,T39,N39)</f>
        <v>0.16368552231058403</v>
      </c>
      <c r="H39" s="66">
        <f>IF($D$4,U39,O39)</f>
        <v>0.16368552231058403</v>
      </c>
      <c r="I39" s="66">
        <f>IF($D$4,U39,O39)</f>
        <v>0.16368552231058403</v>
      </c>
      <c r="J39" s="66">
        <f>IF($D$4,V39,P39)</f>
        <v>0.16368552231058403</v>
      </c>
      <c r="K39" s="66">
        <f>IF($D$4,W39,Q39)</f>
        <v>0.16368552231058403</v>
      </c>
      <c r="L39" s="66">
        <f>IF($D$4,X39,R39)</f>
        <v>0.16368552231058403</v>
      </c>
      <c r="N39" s="277">
        <f>$F39</f>
        <v>0.16368552231058403</v>
      </c>
      <c r="O39" s="35">
        <f>N39</f>
        <v>0.16368552231058403</v>
      </c>
      <c r="P39" s="35">
        <f>O39</f>
        <v>0.16368552231058403</v>
      </c>
      <c r="Q39" s="35">
        <f>P39</f>
        <v>0.16368552231058403</v>
      </c>
      <c r="R39" s="35">
        <f>P39</f>
        <v>0.16368552231058403</v>
      </c>
      <c r="S39" s="278"/>
      <c r="T39" s="277">
        <f>N39</f>
        <v>0.16368552231058403</v>
      </c>
      <c r="U39" s="77">
        <f>T39*0.95</f>
        <v>0.15550124619505482</v>
      </c>
      <c r="V39" s="77">
        <f>U39*0.95</f>
        <v>0.14772618388530206</v>
      </c>
      <c r="W39" s="77">
        <f>V39*0.95</f>
        <v>0.14033987469103695</v>
      </c>
      <c r="X39" s="77">
        <f>W39*0.95</f>
        <v>0.13332288095648509</v>
      </c>
      <c r="Y39" s="278"/>
      <c r="Z39" s="278"/>
      <c r="AA39" s="278"/>
      <c r="AB39" s="278"/>
      <c r="AC39" s="278"/>
      <c r="AD39" s="278"/>
      <c r="AE39" s="278"/>
      <c r="AF39" s="278"/>
      <c r="AG39" s="278"/>
      <c r="AH39" s="278"/>
      <c r="AI39" s="278"/>
      <c r="AJ39" s="278"/>
      <c r="AK39" s="278"/>
      <c r="AL39" s="278"/>
      <c r="AM39" s="278"/>
      <c r="AN39" s="278"/>
      <c r="AO39" s="278"/>
      <c r="AP39" s="278"/>
      <c r="AQ39" s="278"/>
      <c r="AR39" s="278"/>
    </row>
    <row r="40" spans="1:44">
      <c r="A40" s="227" t="s">
        <v>17</v>
      </c>
      <c r="B40" s="228" t="str">
        <f>B24</f>
        <v>TFROT</v>
      </c>
      <c r="C40" s="228" t="str">
        <f>C24</f>
        <v>Transport Freight - Rail Other</v>
      </c>
      <c r="D40" s="227" t="s">
        <v>49</v>
      </c>
      <c r="F40" s="276">
        <f>F47/F$48</f>
        <v>0.83631447768941591</v>
      </c>
      <c r="G40" s="66">
        <f t="shared" ref="G40:L40" si="22">1-G39</f>
        <v>0.83631447768941602</v>
      </c>
      <c r="H40" s="66">
        <f t="shared" si="22"/>
        <v>0.83631447768941602</v>
      </c>
      <c r="I40" s="66">
        <f t="shared" si="22"/>
        <v>0.83631447768941602</v>
      </c>
      <c r="J40" s="66">
        <f t="shared" si="22"/>
        <v>0.83631447768941602</v>
      </c>
      <c r="K40" s="66">
        <f t="shared" si="22"/>
        <v>0.83631447768941602</v>
      </c>
      <c r="L40" s="66">
        <f t="shared" si="22"/>
        <v>0.83631447768941602</v>
      </c>
      <c r="N40" s="277">
        <f>$G40</f>
        <v>0.83631447768941602</v>
      </c>
      <c r="O40" s="66">
        <f>1-O39</f>
        <v>0.83631447768941602</v>
      </c>
      <c r="P40" s="66">
        <f>1-P39</f>
        <v>0.83631447768941602</v>
      </c>
      <c r="Q40" s="66">
        <f>1-Q39</f>
        <v>0.83631447768941602</v>
      </c>
      <c r="R40" s="66">
        <f>1-R39</f>
        <v>0.83631447768941602</v>
      </c>
      <c r="S40" s="278"/>
      <c r="T40" s="277">
        <f>$G40</f>
        <v>0.83631447768941602</v>
      </c>
      <c r="U40" s="66">
        <f>1-U39</f>
        <v>0.84449875380494521</v>
      </c>
      <c r="V40" s="66">
        <f>1-V39</f>
        <v>0.85227381611469788</v>
      </c>
      <c r="W40" s="66">
        <f>1-W39</f>
        <v>0.85966012530896307</v>
      </c>
      <c r="X40" s="66">
        <f>1-X39</f>
        <v>0.86667711904351497</v>
      </c>
      <c r="Y40" s="278"/>
      <c r="Z40" s="278"/>
      <c r="AA40" s="278"/>
      <c r="AB40" s="278"/>
      <c r="AC40" s="278"/>
      <c r="AD40" s="278"/>
      <c r="AE40" s="278"/>
      <c r="AF40" s="278"/>
      <c r="AG40" s="278"/>
      <c r="AH40" s="278"/>
      <c r="AI40" s="278"/>
      <c r="AJ40" s="278"/>
      <c r="AK40" s="278"/>
      <c r="AL40" s="278"/>
      <c r="AM40" s="278"/>
      <c r="AN40" s="278"/>
      <c r="AO40" s="278"/>
      <c r="AP40" s="278"/>
      <c r="AQ40" s="278"/>
      <c r="AR40" s="278"/>
    </row>
    <row r="41" spans="1:44">
      <c r="A41" s="227" t="s">
        <v>17</v>
      </c>
    </row>
    <row r="42" spans="1:44" ht="15" thickBot="1">
      <c r="A42" s="227" t="s">
        <v>17</v>
      </c>
      <c r="B42" s="14" t="s">
        <v>208</v>
      </c>
      <c r="C42" s="14"/>
      <c r="D42" s="14"/>
      <c r="G42" s="49"/>
      <c r="H42" s="49"/>
    </row>
    <row r="43" spans="1:44">
      <c r="A43" s="227" t="s">
        <v>17</v>
      </c>
      <c r="B43" s="228"/>
      <c r="C43" s="3" t="s">
        <v>6</v>
      </c>
      <c r="D43" s="5" t="s">
        <v>150</v>
      </c>
      <c r="E43" s="5"/>
      <c r="F43" s="49">
        <f>F63*F92</f>
        <v>17.152485013399282</v>
      </c>
      <c r="G43" s="49">
        <f>F43*(1+(F13+G13)/2*((G7/F7)^(1/(G$4-F$4))-1))^(G$4-F$4)</f>
        <v>18.11311261142399</v>
      </c>
      <c r="H43" s="49">
        <f>G43*(1+(G13+H13)/2*((H7/G7)^(1/(H$4-G$4))-1))^(H$4-G$4)</f>
        <v>18.359337168808555</v>
      </c>
      <c r="I43" s="49">
        <f>G43*(1+(G13+I13)/2*((I7/G7)^(1/(I$4-G$4))-1))^(I$4-G$4)</f>
        <v>18.727136245807788</v>
      </c>
      <c r="J43" s="49">
        <f>I43*(1+(I13+J13)/2*((J7/I7)^(1/(J$4-I$4))-1))^(J$4-I$4)</f>
        <v>21.418483412524825</v>
      </c>
      <c r="K43" s="49">
        <f>J43*(1+(J13+K13)/2*((K7/J7)^(1/(K$4-J$4))-1))^(K$4-J$4)</f>
        <v>25.214412307944187</v>
      </c>
      <c r="L43" s="49">
        <f>K43*(1+(K13+L13)/2*((L7/K7)^(1/(L$4-K$4))-1))^(L$4-K$4)</f>
        <v>29.325475110464836</v>
      </c>
      <c r="M43" s="49"/>
      <c r="N43" s="86">
        <f>$G43</f>
        <v>18.11311261142399</v>
      </c>
      <c r="O43" s="49">
        <f>N43*(1+(N13+O13)/2*((O7/N7)^(1/(O$4-N$4))-1))^(O$4-N$4)</f>
        <v>18.727136245807788</v>
      </c>
      <c r="P43" s="49">
        <f>O43*(1+(O13+P13)/2*((P7/O7)^(1/(P$4-O$4))-1))^(P$4-O$4)</f>
        <v>21.418483412524825</v>
      </c>
      <c r="Q43" s="49">
        <f>P43*(1+(P13+Q13)/2*((Q7/P7)^(1/(Q$4-P$4))-1))^(Q$4-P$4)</f>
        <v>25.214412307944187</v>
      </c>
      <c r="R43" s="49">
        <f>Q43*(1+(Q13+R13)/2*((R7/Q7)^(1/(R$4-Q$4))-1))^(R$4-Q$4)</f>
        <v>29.325475110464836</v>
      </c>
      <c r="T43" s="86">
        <f>$G43</f>
        <v>18.11311261142399</v>
      </c>
      <c r="U43" s="49">
        <f>T43*(1+(T13+U13)/2*((U7/T7)^(1/(U$4-T$4))-1))^(U$4-T$4)</f>
        <v>18.727136245807788</v>
      </c>
      <c r="V43" s="49">
        <f>U43*(1+(U13+V13)/2*((V7/U7)^(1/(V$4-U$4))-1))^(V$4-U$4)</f>
        <v>21.418483412524825</v>
      </c>
      <c r="W43" s="49">
        <f>V43*(1+(V13+W13)/2*((W7/V7)^(1/(W$4-V$4))-1))^(W$4-V$4)</f>
        <v>25.214412307944187</v>
      </c>
      <c r="X43" s="49">
        <f>W43*(1+(W13+X13)/2*((X7/W7)^(1/(X$4-W$4))-1))^(X$4-W$4)</f>
        <v>29.325475110464836</v>
      </c>
    </row>
    <row r="44" spans="1:44">
      <c r="A44" s="227" t="s">
        <v>17</v>
      </c>
    </row>
    <row r="45" spans="1:44" ht="15" thickBot="1">
      <c r="A45" s="227" t="s">
        <v>17</v>
      </c>
      <c r="B45" s="14" t="s">
        <v>431</v>
      </c>
      <c r="C45" s="14"/>
      <c r="D45" s="14"/>
    </row>
    <row r="46" spans="1:44">
      <c r="A46" s="227" t="s">
        <v>17</v>
      </c>
      <c r="B46" s="228" t="str">
        <f>B39</f>
        <v>TFHCV1</v>
      </c>
      <c r="C46" s="228" t="str">
        <f>C39</f>
        <v>Transport Freight - HCV1</v>
      </c>
      <c r="D46" s="227" t="s">
        <v>150</v>
      </c>
      <c r="F46" s="10">
        <f>F64*F93</f>
        <v>4.9126336080498234</v>
      </c>
      <c r="G46" s="10">
        <f>G39*G$48</f>
        <v>5.1877664193707353</v>
      </c>
      <c r="H46" s="10">
        <f>H39*H$48</f>
        <v>5.2582874566892164</v>
      </c>
      <c r="I46" s="10">
        <f t="shared" ref="G46:L47" si="23">I39*I$48</f>
        <v>5.3636285839523863</v>
      </c>
      <c r="J46" s="10">
        <f t="shared" si="23"/>
        <v>6.1344558157975246</v>
      </c>
      <c r="K46" s="10">
        <f t="shared" si="23"/>
        <v>7.2216456807551106</v>
      </c>
      <c r="L46" s="10">
        <f t="shared" si="23"/>
        <v>8.3990928712169879</v>
      </c>
      <c r="N46" s="10">
        <f t="shared" ref="N46:R47" si="24">N39*N$48</f>
        <v>5.1877664193707353</v>
      </c>
      <c r="O46" s="10">
        <f>O39*O$48</f>
        <v>5.3636285839523863</v>
      </c>
      <c r="P46" s="10">
        <f>P39*P$48</f>
        <v>6.1344558157975246</v>
      </c>
      <c r="Q46" s="10">
        <f>Q39*Q$48</f>
        <v>7.2216456807551106</v>
      </c>
      <c r="R46" s="10">
        <f>R39*R$48</f>
        <v>8.3990928712169879</v>
      </c>
      <c r="S46" s="10"/>
      <c r="T46" s="10">
        <f t="shared" ref="T46:X47" si="25">T39*T$48</f>
        <v>5.1877664193707353</v>
      </c>
      <c r="U46" s="10">
        <f t="shared" si="25"/>
        <v>5.0954471547547673</v>
      </c>
      <c r="V46" s="10">
        <f t="shared" si="25"/>
        <v>5.5363463737572651</v>
      </c>
      <c r="W46" s="10">
        <f t="shared" si="25"/>
        <v>6.1916584655374116</v>
      </c>
      <c r="X46" s="10">
        <f t="shared" si="25"/>
        <v>6.8411136379366786</v>
      </c>
      <c r="Y46" s="10"/>
      <c r="Z46" s="10"/>
      <c r="AA46" s="10"/>
      <c r="AB46" s="10"/>
      <c r="AC46" s="10"/>
      <c r="AD46" s="10"/>
      <c r="AE46" s="10"/>
      <c r="AF46" s="10"/>
      <c r="AG46" s="10"/>
      <c r="AH46" s="10"/>
      <c r="AI46" s="10"/>
      <c r="AJ46" s="10"/>
      <c r="AK46" s="10"/>
      <c r="AL46" s="10"/>
      <c r="AM46" s="10"/>
      <c r="AN46" s="10"/>
      <c r="AO46" s="10"/>
      <c r="AP46" s="10"/>
      <c r="AQ46" s="10"/>
      <c r="AR46" s="10"/>
    </row>
    <row r="47" spans="1:44">
      <c r="A47" s="227" t="s">
        <v>17</v>
      </c>
      <c r="B47" s="228" t="str">
        <f>B40</f>
        <v>TFROT</v>
      </c>
      <c r="C47" s="228" t="str">
        <f>C40</f>
        <v>Transport Freight - Rail Other</v>
      </c>
      <c r="D47" s="227" t="s">
        <v>150</v>
      </c>
      <c r="F47" s="10">
        <f>F103</f>
        <v>25.099999999999998</v>
      </c>
      <c r="G47" s="10">
        <f t="shared" si="23"/>
        <v>26.505729414226828</v>
      </c>
      <c r="H47" s="10">
        <f t="shared" si="23"/>
        <v>26.866040843475982</v>
      </c>
      <c r="I47" s="10">
        <f t="shared" si="23"/>
        <v>27.404257715577543</v>
      </c>
      <c r="J47" s="10">
        <f t="shared" si="23"/>
        <v>31.342626635989149</v>
      </c>
      <c r="K47" s="10">
        <f t="shared" si="23"/>
        <v>36.897379501279289</v>
      </c>
      <c r="L47" s="10">
        <f t="shared" si="23"/>
        <v>42.913281935396533</v>
      </c>
      <c r="N47" s="10">
        <f t="shared" si="24"/>
        <v>26.505729414226828</v>
      </c>
      <c r="O47" s="10">
        <f t="shared" si="24"/>
        <v>27.404257715577543</v>
      </c>
      <c r="P47" s="10">
        <f t="shared" si="24"/>
        <v>31.342626635989149</v>
      </c>
      <c r="Q47" s="10">
        <f t="shared" si="24"/>
        <v>36.897379501279289</v>
      </c>
      <c r="R47" s="10">
        <f t="shared" si="24"/>
        <v>42.913281935396533</v>
      </c>
      <c r="S47" s="10"/>
      <c r="T47" s="10">
        <f t="shared" si="25"/>
        <v>26.505729414226828</v>
      </c>
      <c r="U47" s="10">
        <f t="shared" si="25"/>
        <v>27.672439144775161</v>
      </c>
      <c r="V47" s="10">
        <f t="shared" si="25"/>
        <v>31.940736078029403</v>
      </c>
      <c r="W47" s="10">
        <f t="shared" si="25"/>
        <v>37.927366716496991</v>
      </c>
      <c r="X47" s="10">
        <f t="shared" si="25"/>
        <v>44.47126116867684</v>
      </c>
      <c r="Y47" s="10"/>
      <c r="Z47" s="10"/>
      <c r="AA47" s="10"/>
      <c r="AB47" s="10"/>
      <c r="AC47" s="10"/>
      <c r="AD47" s="10"/>
      <c r="AE47" s="10"/>
      <c r="AF47" s="10"/>
      <c r="AG47" s="10"/>
      <c r="AH47" s="10"/>
      <c r="AI47" s="10"/>
      <c r="AJ47" s="10"/>
      <c r="AK47" s="10"/>
      <c r="AL47" s="10"/>
      <c r="AM47" s="10"/>
      <c r="AN47" s="10"/>
      <c r="AO47" s="10"/>
      <c r="AP47" s="10"/>
      <c r="AQ47" s="10"/>
      <c r="AR47" s="10"/>
    </row>
    <row r="48" spans="1:44">
      <c r="A48" s="227" t="s">
        <v>17</v>
      </c>
      <c r="B48" s="228"/>
      <c r="C48" s="3" t="s">
        <v>6</v>
      </c>
      <c r="D48" s="5" t="s">
        <v>150</v>
      </c>
      <c r="E48" s="5"/>
      <c r="F48" s="49">
        <f>SUM(F46:F47)</f>
        <v>30.012633608049821</v>
      </c>
      <c r="G48" s="49">
        <f>F48*(1+(F21+G21)/2*((G7/F7)^(1/(G$4-F$4))-1))^(G$4-F$4)</f>
        <v>31.693495833597559</v>
      </c>
      <c r="H48" s="49">
        <f>G48*(1+(G21+H21)/2*((H7/G7)^(1/(H$4-G$4))-1))^(H$4-G$4)</f>
        <v>32.124328300165196</v>
      </c>
      <c r="I48" s="49">
        <f>G48*(1+(G21+I21)/2*((I7/G7)^(1/(I$4-G$4))-1))^(I$4-G$4)</f>
        <v>32.767886299529927</v>
      </c>
      <c r="J48" s="49">
        <f>I48*(1+(I21+J21)/2*((J7/I7)^(1/(J$4-I$4))-1))^(J$4-I$4)</f>
        <v>37.477082451786671</v>
      </c>
      <c r="K48" s="49">
        <f>J48*(1+(J21+K21)/2*((K7/J7)^(1/(K$4-J$4))-1))^(K$4-J$4)</f>
        <v>44.119025182034399</v>
      </c>
      <c r="L48" s="49">
        <f>K48*(1+(K21+L21)/2*((L7/K7)^(1/(L$4-K$4))-1))^(L$4-K$4)</f>
        <v>51.312374806613519</v>
      </c>
      <c r="N48" s="86">
        <f>$G48</f>
        <v>31.693495833597559</v>
      </c>
      <c r="O48" s="49">
        <f>N48*(1+(N21+O21)/2*((O7/N7)^(1/(O$4-N$4))-1))^(O$4-N$4)</f>
        <v>32.767886299529927</v>
      </c>
      <c r="P48" s="49">
        <f>O48*(1+(O21+P21)/2*((P7/O7)^(1/(P$4-O$4))-1))^(P$4-O$4)</f>
        <v>37.477082451786671</v>
      </c>
      <c r="Q48" s="49">
        <f>P48*(1+(P21+Q21)/2*((Q7/P7)^(1/(Q$4-P$4))-1))^(Q$4-P$4)</f>
        <v>44.119025182034399</v>
      </c>
      <c r="R48" s="49">
        <f>Q48*(1+(Q21+R21)/2*((R7/Q7)^(1/(R$4-Q$4))-1))^(R$4-Q$4)</f>
        <v>51.312374806613519</v>
      </c>
      <c r="S48" s="228"/>
      <c r="T48" s="86">
        <f>$G48</f>
        <v>31.693495833597559</v>
      </c>
      <c r="U48" s="49">
        <f>T48*(1+(T21+U21)/2*((U7/T7)^(1/(U$4-T$4))-1))^(U$4-T$4)</f>
        <v>32.767886299529927</v>
      </c>
      <c r="V48" s="49">
        <f>U48*(1+(U21+V21)/2*((V7/U7)^(1/(V$4-U$4))-1))^(V$4-U$4)</f>
        <v>37.477082451786671</v>
      </c>
      <c r="W48" s="49">
        <f>V48*(1+(V21+W21)/2*((W7/V7)^(1/(W$4-V$4))-1))^(W$4-V$4)</f>
        <v>44.119025182034399</v>
      </c>
      <c r="X48" s="49">
        <f>W48*(1+(W21+X21)/2*((X7/W7)^(1/(X$4-W$4))-1))^(X$4-W$4)</f>
        <v>51.312374806613519</v>
      </c>
      <c r="Y48" s="228"/>
      <c r="Z48" s="228"/>
      <c r="AA48" s="228"/>
      <c r="AB48" s="228"/>
      <c r="AC48" s="228"/>
      <c r="AD48" s="228"/>
      <c r="AE48" s="228"/>
      <c r="AF48" s="228"/>
      <c r="AG48" s="228"/>
      <c r="AH48" s="228"/>
      <c r="AI48" s="228"/>
      <c r="AJ48" s="228"/>
      <c r="AK48" s="228"/>
      <c r="AL48" s="228"/>
      <c r="AM48" s="228"/>
      <c r="AN48" s="228"/>
      <c r="AO48" s="228"/>
      <c r="AP48" s="228"/>
      <c r="AQ48" s="228"/>
      <c r="AR48" s="228"/>
    </row>
    <row r="49" spans="1:44">
      <c r="A49" s="227" t="s">
        <v>17</v>
      </c>
      <c r="B49" s="228"/>
      <c r="C49" s="3"/>
      <c r="D49" s="5"/>
      <c r="E49" s="5"/>
      <c r="F49" s="49"/>
      <c r="G49" s="49"/>
      <c r="H49" s="49"/>
      <c r="I49" s="49"/>
      <c r="J49" s="49"/>
      <c r="K49" s="49"/>
      <c r="L49" s="49"/>
      <c r="N49" s="10"/>
      <c r="O49" s="228"/>
      <c r="P49" s="228"/>
      <c r="Q49" s="228"/>
      <c r="R49" s="228"/>
      <c r="S49" s="228"/>
      <c r="T49" s="228"/>
      <c r="U49" s="228"/>
      <c r="V49" s="228"/>
      <c r="W49" s="228"/>
      <c r="X49" s="228"/>
      <c r="Y49" s="228"/>
      <c r="Z49" s="228"/>
      <c r="AA49" s="228"/>
      <c r="AB49" s="228"/>
      <c r="AC49" s="228"/>
      <c r="AD49" s="228"/>
      <c r="AE49" s="228"/>
      <c r="AF49" s="228"/>
      <c r="AG49" s="228"/>
      <c r="AH49" s="228"/>
      <c r="AI49" s="228"/>
      <c r="AJ49" s="228"/>
      <c r="AK49" s="228"/>
      <c r="AL49" s="228"/>
      <c r="AM49" s="228"/>
      <c r="AN49" s="228"/>
      <c r="AO49" s="228"/>
      <c r="AP49" s="228"/>
      <c r="AQ49" s="228"/>
      <c r="AR49" s="228"/>
    </row>
    <row r="50" spans="1:44" ht="15" thickBot="1">
      <c r="A50" s="227" t="s">
        <v>17</v>
      </c>
      <c r="B50" s="14" t="s">
        <v>209</v>
      </c>
      <c r="C50" s="14"/>
      <c r="D50" s="14"/>
    </row>
    <row r="51" spans="1:44">
      <c r="A51" s="227" t="s">
        <v>17</v>
      </c>
      <c r="B51" s="228" t="str">
        <f>B15</f>
        <v>TFHCV2</v>
      </c>
      <c r="C51" s="228" t="str">
        <f>C28</f>
        <v>Transport Freight - HCV2</v>
      </c>
      <c r="D51" s="227" t="s">
        <v>150</v>
      </c>
      <c r="F51" s="10">
        <f>F65*F94</f>
        <v>1.637618085804339</v>
      </c>
      <c r="G51" s="10">
        <f t="shared" ref="G51:L59" si="26">G28*G$60</f>
        <v>1.7293331420786413</v>
      </c>
      <c r="H51" s="10">
        <f t="shared" si="26"/>
        <v>1.7528412103280606</v>
      </c>
      <c r="I51" s="10">
        <f t="shared" si="26"/>
        <v>1.7879564965367685</v>
      </c>
      <c r="J51" s="10">
        <f t="shared" si="26"/>
        <v>2.0449104476377946</v>
      </c>
      <c r="K51" s="10">
        <f t="shared" si="26"/>
        <v>2.4073233462183765</v>
      </c>
      <c r="L51" s="10">
        <f t="shared" si="26"/>
        <v>2.7998233712599996</v>
      </c>
      <c r="N51" s="10">
        <f>N28*N$60</f>
        <v>1.7293331420786413</v>
      </c>
      <c r="O51" s="10">
        <f>O28*O$60</f>
        <v>1.7879564965367685</v>
      </c>
      <c r="P51" s="10">
        <f>P28*P$60</f>
        <v>2.0449104476377946</v>
      </c>
      <c r="Q51" s="10">
        <f>Q28*Q$60</f>
        <v>2.4073233462183765</v>
      </c>
      <c r="R51" s="10">
        <f>R28*R$60</f>
        <v>2.7998233712599996</v>
      </c>
      <c r="S51" s="10"/>
      <c r="T51" s="10">
        <f>T28*T$60</f>
        <v>1.7293331420786413</v>
      </c>
      <c r="U51" s="10">
        <f>U28*U$60</f>
        <v>1.6985586717099299</v>
      </c>
      <c r="V51" s="10">
        <f>V28*V$60</f>
        <v>1.8455316789931091</v>
      </c>
      <c r="W51" s="10">
        <f>W28*W$60</f>
        <v>2.0639788539639801</v>
      </c>
      <c r="X51" s="10">
        <f>X28*X$60</f>
        <v>2.2804736347873398</v>
      </c>
      <c r="Y51" s="10"/>
      <c r="Z51" s="10"/>
      <c r="AA51" s="10"/>
      <c r="AB51" s="10"/>
      <c r="AC51" s="10"/>
      <c r="AD51" s="10"/>
      <c r="AE51" s="10"/>
      <c r="AF51" s="10"/>
      <c r="AG51" s="10"/>
      <c r="AH51" s="10"/>
      <c r="AI51" s="10"/>
      <c r="AJ51" s="10"/>
      <c r="AK51" s="10"/>
      <c r="AL51" s="10"/>
      <c r="AM51" s="10"/>
      <c r="AN51" s="10"/>
      <c r="AO51" s="10"/>
      <c r="AP51" s="10"/>
      <c r="AQ51" s="10"/>
      <c r="AR51" s="10"/>
    </row>
    <row r="52" spans="1:44">
      <c r="A52" s="227" t="s">
        <v>17</v>
      </c>
      <c r="B52" s="228" t="str">
        <f t="shared" ref="B52:B58" si="27">B16</f>
        <v>TFHCV3</v>
      </c>
      <c r="C52" s="228" t="str">
        <f t="shared" ref="C52:C58" si="28">C29</f>
        <v>Transport Freight - HCV3</v>
      </c>
      <c r="D52" s="227" t="s">
        <v>150</v>
      </c>
      <c r="F52" s="10">
        <f t="shared" ref="F52:F58" si="29">F66*F95</f>
        <v>10.467275163694032</v>
      </c>
      <c r="G52" s="10">
        <f t="shared" si="26"/>
        <v>11.053496541558998</v>
      </c>
      <c r="H52" s="10">
        <f t="shared" si="26"/>
        <v>11.203754664052015</v>
      </c>
      <c r="I52" s="10">
        <f t="shared" si="26"/>
        <v>11.428203432897824</v>
      </c>
      <c r="J52" s="10">
        <f t="shared" si="26"/>
        <v>13.070593519992999</v>
      </c>
      <c r="K52" s="10">
        <f t="shared" si="26"/>
        <v>15.387052751359921</v>
      </c>
      <c r="L52" s="10">
        <f t="shared" si="26"/>
        <v>17.895821920118561</v>
      </c>
      <c r="N52" s="10">
        <f t="shared" ref="N52:R59" si="30">N29*N$60</f>
        <v>11.053496541558998</v>
      </c>
      <c r="O52" s="10">
        <f t="shared" si="30"/>
        <v>11.428203432897824</v>
      </c>
      <c r="P52" s="10">
        <f t="shared" si="30"/>
        <v>13.070593519992999</v>
      </c>
      <c r="Q52" s="10">
        <f t="shared" si="30"/>
        <v>15.387052751359921</v>
      </c>
      <c r="R52" s="10">
        <f t="shared" si="30"/>
        <v>17.895821920118561</v>
      </c>
      <c r="S52" s="10"/>
      <c r="T52" s="10">
        <f t="shared" ref="T52:X59" si="31">T29*T$60</f>
        <v>11.053496541558998</v>
      </c>
      <c r="U52" s="10">
        <f t="shared" si="31"/>
        <v>10.856793261252934</v>
      </c>
      <c r="V52" s="10">
        <f t="shared" si="31"/>
        <v>11.796210651793681</v>
      </c>
      <c r="W52" s="10">
        <f t="shared" si="31"/>
        <v>13.192474352697213</v>
      </c>
      <c r="X52" s="10">
        <f t="shared" si="31"/>
        <v>14.57625880282357</v>
      </c>
      <c r="Y52" s="10"/>
      <c r="Z52" s="10"/>
      <c r="AA52" s="10"/>
      <c r="AB52" s="10"/>
      <c r="AC52" s="10"/>
      <c r="AD52" s="10"/>
      <c r="AE52" s="10"/>
      <c r="AF52" s="10"/>
      <c r="AG52" s="10"/>
      <c r="AH52" s="10"/>
      <c r="AI52" s="10"/>
      <c r="AJ52" s="10"/>
      <c r="AK52" s="10"/>
      <c r="AL52" s="10"/>
      <c r="AM52" s="10"/>
      <c r="AN52" s="10"/>
      <c r="AO52" s="10"/>
      <c r="AP52" s="10"/>
      <c r="AQ52" s="10"/>
      <c r="AR52" s="10"/>
    </row>
    <row r="53" spans="1:44">
      <c r="A53" s="227" t="s">
        <v>17</v>
      </c>
      <c r="B53" s="228" t="str">
        <f t="shared" si="27"/>
        <v>TFHCV4</v>
      </c>
      <c r="C53" s="228" t="str">
        <f t="shared" si="28"/>
        <v>Transport Freight - HCV4</v>
      </c>
      <c r="D53" s="227" t="s">
        <v>150</v>
      </c>
      <c r="F53" s="10">
        <f t="shared" si="29"/>
        <v>3.423667084889694</v>
      </c>
      <c r="G53" s="10">
        <f t="shared" si="26"/>
        <v>3.6154100938837042</v>
      </c>
      <c r="H53" s="10">
        <f t="shared" si="26"/>
        <v>3.6645569616378832</v>
      </c>
      <c r="I53" s="10">
        <f t="shared" si="26"/>
        <v>3.7379703237712061</v>
      </c>
      <c r="J53" s="10">
        <f t="shared" si="26"/>
        <v>4.2751680943276114</v>
      </c>
      <c r="K53" s="10">
        <f t="shared" si="26"/>
        <v>5.0328423791718579</v>
      </c>
      <c r="L53" s="10">
        <f t="shared" si="26"/>
        <v>5.8534179628210605</v>
      </c>
      <c r="N53" s="10">
        <f t="shared" si="30"/>
        <v>3.6154100938837042</v>
      </c>
      <c r="O53" s="10">
        <f t="shared" si="30"/>
        <v>3.7379703237712061</v>
      </c>
      <c r="P53" s="10">
        <f t="shared" si="30"/>
        <v>4.2751680943276114</v>
      </c>
      <c r="Q53" s="10">
        <f t="shared" si="30"/>
        <v>5.0328423791718579</v>
      </c>
      <c r="R53" s="10">
        <f t="shared" si="30"/>
        <v>5.8534179628210605</v>
      </c>
      <c r="S53" s="10"/>
      <c r="T53" s="10">
        <f t="shared" si="31"/>
        <v>3.6154100938837042</v>
      </c>
      <c r="U53" s="10">
        <f t="shared" si="31"/>
        <v>3.551071807582646</v>
      </c>
      <c r="V53" s="10">
        <f t="shared" si="31"/>
        <v>3.8583392051306693</v>
      </c>
      <c r="W53" s="10">
        <f t="shared" si="31"/>
        <v>4.3150332348424714</v>
      </c>
      <c r="X53" s="10">
        <f t="shared" si="31"/>
        <v>4.7676455145800212</v>
      </c>
      <c r="Y53" s="10"/>
      <c r="Z53" s="10"/>
      <c r="AA53" s="10"/>
      <c r="AB53" s="10"/>
      <c r="AC53" s="10"/>
      <c r="AD53" s="10"/>
      <c r="AE53" s="10"/>
      <c r="AF53" s="10"/>
      <c r="AG53" s="10"/>
      <c r="AH53" s="10"/>
      <c r="AI53" s="10"/>
      <c r="AJ53" s="10"/>
      <c r="AK53" s="10"/>
      <c r="AL53" s="10"/>
      <c r="AM53" s="10"/>
      <c r="AN53" s="10"/>
      <c r="AO53" s="10"/>
      <c r="AP53" s="10"/>
      <c r="AQ53" s="10"/>
      <c r="AR53" s="10"/>
    </row>
    <row r="54" spans="1:44">
      <c r="A54" s="227" t="s">
        <v>17</v>
      </c>
      <c r="B54" s="228" t="str">
        <f t="shared" si="27"/>
        <v>TFHCV5</v>
      </c>
      <c r="C54" s="228" t="str">
        <f t="shared" si="28"/>
        <v>Transport Freight - HCV5</v>
      </c>
      <c r="D54" s="227" t="s">
        <v>150</v>
      </c>
      <c r="F54" s="10">
        <f t="shared" si="29"/>
        <v>2.0433999272590588</v>
      </c>
      <c r="G54" s="10">
        <f t="shared" si="26"/>
        <v>2.1578408588438007</v>
      </c>
      <c r="H54" s="10">
        <f t="shared" si="26"/>
        <v>2.1871739404501085</v>
      </c>
      <c r="I54" s="10">
        <f t="shared" si="26"/>
        <v>2.2309903674342495</v>
      </c>
      <c r="J54" s="10">
        <f t="shared" si="26"/>
        <v>2.5516143819955408</v>
      </c>
      <c r="K54" s="10">
        <f t="shared" si="26"/>
        <v>3.0038287884049404</v>
      </c>
      <c r="L54" s="10">
        <f t="shared" si="26"/>
        <v>3.4935855452285565</v>
      </c>
      <c r="N54" s="10">
        <f t="shared" si="30"/>
        <v>2.1578408588438007</v>
      </c>
      <c r="O54" s="10">
        <f t="shared" si="30"/>
        <v>2.2309903674342495</v>
      </c>
      <c r="P54" s="10">
        <f t="shared" si="30"/>
        <v>2.5516143819955408</v>
      </c>
      <c r="Q54" s="10">
        <f t="shared" si="30"/>
        <v>3.0038287884049404</v>
      </c>
      <c r="R54" s="10">
        <f t="shared" si="30"/>
        <v>3.4935855452285565</v>
      </c>
      <c r="S54" s="10"/>
      <c r="T54" s="10">
        <f t="shared" si="31"/>
        <v>2.1578408588438007</v>
      </c>
      <c r="U54" s="10">
        <f t="shared" si="31"/>
        <v>2.1194408490625367</v>
      </c>
      <c r="V54" s="10">
        <f t="shared" si="31"/>
        <v>2.3028319797509753</v>
      </c>
      <c r="W54" s="10">
        <f t="shared" si="31"/>
        <v>2.5754077074586856</v>
      </c>
      <c r="X54" s="10">
        <f t="shared" si="31"/>
        <v>2.8455472614983166</v>
      </c>
      <c r="Y54" s="10"/>
      <c r="Z54" s="10"/>
      <c r="AA54" s="10"/>
      <c r="AB54" s="10"/>
      <c r="AC54" s="10"/>
      <c r="AD54" s="10"/>
      <c r="AE54" s="10"/>
      <c r="AF54" s="10"/>
      <c r="AG54" s="10"/>
      <c r="AH54" s="10"/>
      <c r="AI54" s="10"/>
      <c r="AJ54" s="10"/>
      <c r="AK54" s="10"/>
      <c r="AL54" s="10"/>
      <c r="AM54" s="10"/>
      <c r="AN54" s="10"/>
      <c r="AO54" s="10"/>
      <c r="AP54" s="10"/>
      <c r="AQ54" s="10"/>
      <c r="AR54" s="10"/>
    </row>
    <row r="55" spans="1:44">
      <c r="A55" s="227" t="s">
        <v>17</v>
      </c>
      <c r="B55" s="228" t="str">
        <f t="shared" si="27"/>
        <v>TFHCV6</v>
      </c>
      <c r="C55" s="228" t="str">
        <f t="shared" si="28"/>
        <v>Transport Freight - HCV6</v>
      </c>
      <c r="D55" s="227" t="s">
        <v>150</v>
      </c>
      <c r="F55" s="10">
        <f>F69*F98</f>
        <v>51.883602656707552</v>
      </c>
      <c r="G55" s="10">
        <f t="shared" si="26"/>
        <v>54.789351914500017</v>
      </c>
      <c r="H55" s="10">
        <f t="shared" si="26"/>
        <v>55.534142951465498</v>
      </c>
      <c r="I55" s="10">
        <f t="shared" si="26"/>
        <v>56.646678024583167</v>
      </c>
      <c r="J55" s="10">
        <f t="shared" si="26"/>
        <v>64.787585123474088</v>
      </c>
      <c r="K55" s="10">
        <f t="shared" si="26"/>
        <v>76.26968036327176</v>
      </c>
      <c r="L55" s="10">
        <f t="shared" si="26"/>
        <v>88.705006718381668</v>
      </c>
      <c r="N55" s="10">
        <f t="shared" si="30"/>
        <v>54.789351914500017</v>
      </c>
      <c r="O55" s="10">
        <f t="shared" si="30"/>
        <v>56.646678024583167</v>
      </c>
      <c r="P55" s="10">
        <f t="shared" si="30"/>
        <v>64.787585123474088</v>
      </c>
      <c r="Q55" s="10">
        <f t="shared" si="30"/>
        <v>76.26968036327176</v>
      </c>
      <c r="R55" s="10">
        <f t="shared" si="30"/>
        <v>88.705006718381668</v>
      </c>
      <c r="S55" s="10"/>
      <c r="T55" s="10">
        <f t="shared" si="31"/>
        <v>54.789351914500017</v>
      </c>
      <c r="U55" s="10">
        <f t="shared" si="31"/>
        <v>53.814344123354005</v>
      </c>
      <c r="V55" s="10">
        <f t="shared" si="31"/>
        <v>58.470795573935355</v>
      </c>
      <c r="W55" s="10">
        <f t="shared" si="31"/>
        <v>65.391717201460111</v>
      </c>
      <c r="X55" s="10">
        <f t="shared" si="31"/>
        <v>72.250782378413831</v>
      </c>
      <c r="Y55" s="10"/>
      <c r="Z55" s="10"/>
      <c r="AA55" s="10"/>
      <c r="AB55" s="10"/>
      <c r="AC55" s="10"/>
      <c r="AD55" s="10"/>
      <c r="AE55" s="10"/>
      <c r="AF55" s="10"/>
      <c r="AG55" s="10"/>
      <c r="AH55" s="10"/>
      <c r="AI55" s="10"/>
      <c r="AJ55" s="10"/>
      <c r="AK55" s="10"/>
      <c r="AL55" s="10"/>
      <c r="AM55" s="10"/>
      <c r="AN55" s="10"/>
      <c r="AO55" s="10"/>
      <c r="AP55" s="10"/>
      <c r="AQ55" s="10"/>
      <c r="AR55" s="10"/>
    </row>
    <row r="56" spans="1:44">
      <c r="A56" s="227" t="s">
        <v>17</v>
      </c>
      <c r="B56" s="228" t="str">
        <f t="shared" si="27"/>
        <v>TFHCV7</v>
      </c>
      <c r="C56" s="228" t="str">
        <f t="shared" si="28"/>
        <v>Transport Freight - HCV7</v>
      </c>
      <c r="D56" s="227" t="s">
        <v>150</v>
      </c>
      <c r="F56" s="10">
        <f t="shared" si="29"/>
        <v>21.803352870590057</v>
      </c>
      <c r="G56" s="10">
        <f t="shared" si="26"/>
        <v>23.024453048237682</v>
      </c>
      <c r="H56" s="10">
        <f t="shared" si="26"/>
        <v>23.337440985896087</v>
      </c>
      <c r="I56" s="10">
        <f t="shared" si="26"/>
        <v>23.804968172483164</v>
      </c>
      <c r="J56" s="10">
        <f t="shared" si="26"/>
        <v>27.2260696587899</v>
      </c>
      <c r="K56" s="10">
        <f t="shared" si="26"/>
        <v>32.051258377150148</v>
      </c>
      <c r="L56" s="10">
        <f t="shared" si="26"/>
        <v>37.277029038747749</v>
      </c>
      <c r="N56" s="10">
        <f t="shared" si="30"/>
        <v>23.024453048237682</v>
      </c>
      <c r="O56" s="10">
        <f t="shared" si="30"/>
        <v>23.804968172483164</v>
      </c>
      <c r="P56" s="10">
        <f t="shared" si="30"/>
        <v>27.2260696587899</v>
      </c>
      <c r="Q56" s="10">
        <f t="shared" si="30"/>
        <v>32.051258377150148</v>
      </c>
      <c r="R56" s="10">
        <f t="shared" si="30"/>
        <v>37.277029038747749</v>
      </c>
      <c r="S56" s="10"/>
      <c r="T56" s="10">
        <f t="shared" si="31"/>
        <v>23.024453048237682</v>
      </c>
      <c r="U56" s="10">
        <f t="shared" si="31"/>
        <v>22.614719763859004</v>
      </c>
      <c r="V56" s="10">
        <f t="shared" si="31"/>
        <v>24.571527867057881</v>
      </c>
      <c r="W56" s="10">
        <f t="shared" si="31"/>
        <v>27.479947651109097</v>
      </c>
      <c r="X56" s="10">
        <f t="shared" si="31"/>
        <v>30.362373133491523</v>
      </c>
      <c r="Y56" s="10"/>
      <c r="Z56" s="10"/>
      <c r="AA56" s="10"/>
      <c r="AB56" s="10"/>
      <c r="AC56" s="10"/>
      <c r="AD56" s="10"/>
      <c r="AE56" s="10"/>
      <c r="AF56" s="10"/>
      <c r="AG56" s="10"/>
      <c r="AH56" s="10"/>
      <c r="AI56" s="10"/>
      <c r="AJ56" s="10"/>
      <c r="AK56" s="10"/>
      <c r="AL56" s="10"/>
      <c r="AM56" s="10"/>
      <c r="AN56" s="10"/>
      <c r="AO56" s="10"/>
      <c r="AP56" s="10"/>
      <c r="AQ56" s="10"/>
      <c r="AR56" s="10"/>
    </row>
    <row r="57" spans="1:44">
      <c r="A57" s="227" t="s">
        <v>17</v>
      </c>
      <c r="B57" s="228" t="str">
        <f t="shared" si="27"/>
        <v>TFHCV8</v>
      </c>
      <c r="C57" s="228" t="str">
        <f t="shared" si="28"/>
        <v>Transport Freight - HCV8</v>
      </c>
      <c r="D57" s="227" t="s">
        <v>150</v>
      </c>
      <c r="F57" s="10">
        <f t="shared" si="29"/>
        <v>1.0249985708336284</v>
      </c>
      <c r="G57" s="10">
        <f t="shared" si="26"/>
        <v>1.0824037756368672</v>
      </c>
      <c r="H57" s="10">
        <f t="shared" si="26"/>
        <v>1.0971176680685566</v>
      </c>
      <c r="I57" s="10">
        <f t="shared" si="26"/>
        <v>1.1190966132758335</v>
      </c>
      <c r="J57" s="10">
        <f t="shared" si="26"/>
        <v>1.2799261955402748</v>
      </c>
      <c r="K57" s="10">
        <f t="shared" si="26"/>
        <v>1.5067633966660277</v>
      </c>
      <c r="L57" s="10">
        <f t="shared" si="26"/>
        <v>1.7524323766359367</v>
      </c>
      <c r="N57" s="10">
        <f t="shared" si="30"/>
        <v>1.0824037756368672</v>
      </c>
      <c r="O57" s="10">
        <f t="shared" si="30"/>
        <v>1.1190966132758335</v>
      </c>
      <c r="P57" s="10">
        <f t="shared" si="30"/>
        <v>1.2799261955402748</v>
      </c>
      <c r="Q57" s="10">
        <f t="shared" si="30"/>
        <v>1.5067633966660277</v>
      </c>
      <c r="R57" s="10">
        <f t="shared" si="30"/>
        <v>1.7524323766359367</v>
      </c>
      <c r="S57" s="10"/>
      <c r="T57" s="10">
        <f t="shared" si="31"/>
        <v>1.0824037756368672</v>
      </c>
      <c r="U57" s="10">
        <f t="shared" si="31"/>
        <v>1.0631417826120417</v>
      </c>
      <c r="V57" s="10">
        <f t="shared" si="31"/>
        <v>1.1551333914750981</v>
      </c>
      <c r="W57" s="10">
        <f t="shared" si="31"/>
        <v>1.2918612672165353</v>
      </c>
      <c r="X57" s="10">
        <f t="shared" si="31"/>
        <v>1.4273671234723244</v>
      </c>
      <c r="Y57" s="10"/>
      <c r="Z57" s="10"/>
      <c r="AA57" s="10"/>
      <c r="AB57" s="10"/>
      <c r="AC57" s="10"/>
      <c r="AD57" s="10"/>
      <c r="AE57" s="10"/>
      <c r="AF57" s="10"/>
      <c r="AG57" s="10"/>
      <c r="AH57" s="10"/>
      <c r="AI57" s="10"/>
      <c r="AJ57" s="10"/>
      <c r="AK57" s="10"/>
      <c r="AL57" s="10"/>
      <c r="AM57" s="10"/>
      <c r="AN57" s="10"/>
      <c r="AO57" s="10"/>
      <c r="AP57" s="10"/>
      <c r="AQ57" s="10"/>
      <c r="AR57" s="10"/>
    </row>
    <row r="58" spans="1:44">
      <c r="A58" s="227" t="s">
        <v>17</v>
      </c>
      <c r="B58" s="228" t="str">
        <f t="shared" si="27"/>
        <v>TFHCV9</v>
      </c>
      <c r="C58" s="228" t="str">
        <f t="shared" si="28"/>
        <v>Transport Freight - HCV9</v>
      </c>
      <c r="D58" s="227" t="s">
        <v>150</v>
      </c>
      <c r="F58" s="10">
        <f t="shared" si="29"/>
        <v>0.87558249537595634</v>
      </c>
      <c r="G58" s="10">
        <f t="shared" si="26"/>
        <v>0.92461962957245458</v>
      </c>
      <c r="H58" s="10">
        <f t="shared" si="26"/>
        <v>0.93718864870928531</v>
      </c>
      <c r="I58" s="10">
        <f t="shared" si="26"/>
        <v>0.95596367946339411</v>
      </c>
      <c r="J58" s="10">
        <f t="shared" si="26"/>
        <v>1.0933488144054302</v>
      </c>
      <c r="K58" s="10">
        <f t="shared" si="26"/>
        <v>1.2871195066360073</v>
      </c>
      <c r="L58" s="10">
        <f t="shared" si="26"/>
        <v>1.4969768319428864</v>
      </c>
      <c r="N58" s="10">
        <f t="shared" si="30"/>
        <v>0.92461962957245458</v>
      </c>
      <c r="O58" s="10">
        <f t="shared" si="30"/>
        <v>0.95596367946339411</v>
      </c>
      <c r="P58" s="10">
        <f t="shared" si="30"/>
        <v>1.0933488144054302</v>
      </c>
      <c r="Q58" s="10">
        <f t="shared" si="30"/>
        <v>1.2871195066360073</v>
      </c>
      <c r="R58" s="10">
        <f t="shared" si="30"/>
        <v>1.4969768319428864</v>
      </c>
      <c r="S58" s="10"/>
      <c r="T58" s="10">
        <f t="shared" si="31"/>
        <v>0.92461962957245458</v>
      </c>
      <c r="U58" s="10">
        <f t="shared" si="31"/>
        <v>0.90816549549022441</v>
      </c>
      <c r="V58" s="10">
        <f t="shared" si="31"/>
        <v>0.98674730500090058</v>
      </c>
      <c r="W58" s="10">
        <f t="shared" si="31"/>
        <v>1.1035440870020468</v>
      </c>
      <c r="X58" s="10">
        <f t="shared" si="31"/>
        <v>1.2192969857226803</v>
      </c>
      <c r="Y58" s="10"/>
      <c r="Z58" s="10"/>
      <c r="AA58" s="10"/>
      <c r="AB58" s="10"/>
      <c r="AC58" s="10"/>
      <c r="AD58" s="10"/>
      <c r="AE58" s="10"/>
      <c r="AF58" s="10"/>
      <c r="AG58" s="10"/>
      <c r="AH58" s="10"/>
      <c r="AI58" s="10"/>
      <c r="AJ58" s="10"/>
      <c r="AK58" s="10"/>
      <c r="AL58" s="10"/>
      <c r="AM58" s="10"/>
      <c r="AN58" s="10"/>
      <c r="AO58" s="10"/>
      <c r="AP58" s="10"/>
      <c r="AQ58" s="10"/>
      <c r="AR58" s="10"/>
    </row>
    <row r="59" spans="1:44">
      <c r="A59" s="227" t="s">
        <v>17</v>
      </c>
      <c r="B59" s="228" t="str">
        <f>B23</f>
        <v>TFRCO</v>
      </c>
      <c r="C59" s="228" t="str">
        <f>C36</f>
        <v>Transport Freight - Rail Corridor</v>
      </c>
      <c r="D59" s="227" t="s">
        <v>150</v>
      </c>
      <c r="F59" s="10">
        <f>F102</f>
        <v>22</v>
      </c>
      <c r="G59" s="10">
        <f t="shared" si="26"/>
        <v>23.232113430796417</v>
      </c>
      <c r="H59" s="10">
        <f t="shared" si="26"/>
        <v>23.547924245277745</v>
      </c>
      <c r="I59" s="10">
        <f t="shared" si="26"/>
        <v>24.019668117239277</v>
      </c>
      <c r="J59" s="10">
        <f t="shared" si="26"/>
        <v>27.471624939910804</v>
      </c>
      <c r="K59" s="10">
        <f t="shared" si="26"/>
        <v>32.340332630603356</v>
      </c>
      <c r="L59" s="10">
        <f t="shared" si="26"/>
        <v>37.613235162498945</v>
      </c>
      <c r="N59" s="10">
        <f t="shared" si="30"/>
        <v>23.232113430796417</v>
      </c>
      <c r="O59" s="10">
        <f>O36*O$60</f>
        <v>24.019668117239277</v>
      </c>
      <c r="P59" s="10">
        <f>P36*P$60</f>
        <v>27.471624939910804</v>
      </c>
      <c r="Q59" s="10">
        <f>Q36*Q$60</f>
        <v>32.340332630603356</v>
      </c>
      <c r="R59" s="10">
        <f>R36*R$60</f>
        <v>37.613235162498945</v>
      </c>
      <c r="S59" s="10"/>
      <c r="T59" s="10">
        <f t="shared" si="31"/>
        <v>23.232113430796417</v>
      </c>
      <c r="U59" s="10">
        <f t="shared" si="31"/>
        <v>29.105259472761574</v>
      </c>
      <c r="V59" s="10">
        <f t="shared" si="31"/>
        <v>38.813723522936776</v>
      </c>
      <c r="W59" s="10">
        <f t="shared" si="31"/>
        <v>51.872237183732253</v>
      </c>
      <c r="X59" s="10">
        <f>X36*X$60</f>
        <v>67.157584092845767</v>
      </c>
      <c r="Y59" s="10"/>
      <c r="Z59" s="10"/>
      <c r="AA59" s="10"/>
      <c r="AB59" s="10"/>
      <c r="AC59" s="10"/>
      <c r="AD59" s="10"/>
      <c r="AE59" s="10"/>
      <c r="AF59" s="10"/>
      <c r="AG59" s="10"/>
      <c r="AH59" s="10"/>
      <c r="AI59" s="10"/>
      <c r="AJ59" s="10"/>
      <c r="AK59" s="10"/>
      <c r="AL59" s="10"/>
      <c r="AM59" s="10"/>
      <c r="AN59" s="10"/>
      <c r="AO59" s="10"/>
      <c r="AP59" s="10"/>
      <c r="AQ59" s="10"/>
      <c r="AR59" s="10"/>
    </row>
    <row r="60" spans="1:44">
      <c r="A60" s="227" t="s">
        <v>17</v>
      </c>
      <c r="B60" s="228"/>
      <c r="C60" s="3" t="s">
        <v>6</v>
      </c>
      <c r="D60" s="5" t="s">
        <v>150</v>
      </c>
      <c r="E60" s="5"/>
      <c r="F60" s="49">
        <f>SUM(F51:F59)</f>
        <v>115.15949685515432</v>
      </c>
      <c r="G60" s="49">
        <f>F60*(1+(F22+G22)/2*((G7/F7)^(1/(G$4-F$4))-1))^(G$4-F$4)</f>
        <v>121.60902243510859</v>
      </c>
      <c r="H60" s="49">
        <f>G60*(1+(G22+H22)/2*((H7/G7)^(1/(H$4-G$4))-1))^(H$4-G$4)</f>
        <v>123.26214127588524</v>
      </c>
      <c r="I60" s="49">
        <f>G60*(1+(G22+I22)/2*((I7/G7)^(1/(I$4-G$4))-1))^(I$4-G$4)</f>
        <v>125.73149522768489</v>
      </c>
      <c r="J60" s="49">
        <f>I60*(1+(I22+J22)/2*((J7/I7)^(1/(J$4-I$4))-1))^(J$4-I$4)</f>
        <v>143.80084117607444</v>
      </c>
      <c r="K60" s="49">
        <f>J60*(1+(J22+K22)/2*((K7/J7)^(1/(K$4-J$4))-1))^(K$4-J$4)</f>
        <v>169.28620153948239</v>
      </c>
      <c r="L60" s="49">
        <f>K60*(1+(K22+L22)/2*((L7/K7)^(1/(L$4-K$4))-1))^(L$4-K$4)</f>
        <v>196.88732892763537</v>
      </c>
      <c r="N60" s="86">
        <f>$G60</f>
        <v>121.60902243510859</v>
      </c>
      <c r="O60" s="49">
        <f>N60*(1+(N22+O22)/2*((O7/N7)^(1/(O$4-N$4))-1))^(O$4-N$4)</f>
        <v>125.73149522768489</v>
      </c>
      <c r="P60" s="49">
        <f>O60*(1+(O22+P22)/2*((P7/O7)^(1/(P$4-O$4))-1))^(P$4-O$4)</f>
        <v>143.80084117607444</v>
      </c>
      <c r="Q60" s="49">
        <f>P60*(1+(P22+Q22)/2*((Q7/P7)^(1/(Q$4-P$4))-1))^(Q$4-P$4)</f>
        <v>169.28620153948239</v>
      </c>
      <c r="R60" s="49">
        <f>Q60*(1+(Q22+R22)/2*((R7/Q7)^(1/(R$4-Q$4))-1))^(R$4-Q$4)</f>
        <v>196.88732892763537</v>
      </c>
      <c r="T60" s="86">
        <f>$G60</f>
        <v>121.60902243510859</v>
      </c>
      <c r="U60" s="49">
        <f>T60*(1+(T22+U22)/2*((U7/T7)^(1/(U$4-T$4))-1))^(U$4-T$4)</f>
        <v>125.73149522768489</v>
      </c>
      <c r="V60" s="49">
        <f>U60*(1+(U22+V22)/2*((V7/U7)^(1/(V$4-U$4))-1))^(V$4-U$4)</f>
        <v>143.80084117607444</v>
      </c>
      <c r="W60" s="49">
        <f>V60*(1+(V22+W22)/2*((W7/V7)^(1/(W$4-V$4))-1))^(W$4-V$4)</f>
        <v>169.28620153948239</v>
      </c>
      <c r="X60" s="49">
        <f>W60*(1+(W22+X22)/2*((X7/W7)^(1/(X$4-W$4))-1))^(X$4-W$4)</f>
        <v>196.88732892763537</v>
      </c>
    </row>
    <row r="61" spans="1:44">
      <c r="A61" s="227" t="s">
        <v>17</v>
      </c>
      <c r="B61" s="228"/>
      <c r="C61" s="3"/>
      <c r="D61" s="5"/>
      <c r="E61" s="5"/>
      <c r="F61" s="49"/>
      <c r="G61" s="10"/>
      <c r="H61" s="10"/>
      <c r="I61" s="10"/>
      <c r="J61" s="10"/>
      <c r="K61" s="10"/>
      <c r="L61" s="10"/>
    </row>
    <row r="62" spans="1:44" ht="15" thickBot="1">
      <c r="A62" s="227" t="s">
        <v>17</v>
      </c>
      <c r="B62" s="14" t="s">
        <v>149</v>
      </c>
      <c r="C62" s="14"/>
      <c r="D62" s="14"/>
    </row>
    <row r="63" spans="1:44">
      <c r="A63" s="227" t="s">
        <v>17</v>
      </c>
      <c r="B63" s="227" t="s">
        <v>152</v>
      </c>
      <c r="C63" s="227" t="s">
        <v>153</v>
      </c>
      <c r="D63" s="227" t="s">
        <v>148</v>
      </c>
      <c r="F63" s="51">
        <f>[3]Calib_1011!$AC$36</f>
        <v>0.39785406833795833</v>
      </c>
      <c r="G63" s="65">
        <f t="shared" ref="G63:H72" si="32">F63</f>
        <v>0.39785406833795833</v>
      </c>
      <c r="H63" s="65">
        <f t="shared" si="32"/>
        <v>0.39785406833795833</v>
      </c>
      <c r="I63" s="65">
        <f t="shared" ref="I63:L72" si="33">IF($D$4,U63,O63)</f>
        <v>0.39785406833795833</v>
      </c>
      <c r="J63" s="65">
        <f t="shared" si="33"/>
        <v>0.39785406833795833</v>
      </c>
      <c r="K63" s="65">
        <f t="shared" si="33"/>
        <v>0.39785406833795833</v>
      </c>
      <c r="L63" s="65">
        <f t="shared" si="33"/>
        <v>0.39785406833795833</v>
      </c>
      <c r="M63" s="228"/>
      <c r="N63" s="86">
        <f>$G63</f>
        <v>0.39785406833795833</v>
      </c>
      <c r="O63" s="47">
        <f t="shared" ref="O63:Q72" si="34">N63</f>
        <v>0.39785406833795833</v>
      </c>
      <c r="P63" s="47">
        <f t="shared" si="34"/>
        <v>0.39785406833795833</v>
      </c>
      <c r="Q63" s="47">
        <f t="shared" si="34"/>
        <v>0.39785406833795833</v>
      </c>
      <c r="R63" s="47">
        <f>P63</f>
        <v>0.39785406833795833</v>
      </c>
      <c r="S63" s="279"/>
      <c r="T63" s="86">
        <f>$G63</f>
        <v>0.39785406833795833</v>
      </c>
      <c r="U63" s="47">
        <f t="shared" ref="U63:W72" si="35">T63</f>
        <v>0.39785406833795833</v>
      </c>
      <c r="V63" s="47">
        <f t="shared" si="35"/>
        <v>0.39785406833795833</v>
      </c>
      <c r="W63" s="47">
        <f t="shared" si="35"/>
        <v>0.39785406833795833</v>
      </c>
      <c r="X63" s="47">
        <f>V63</f>
        <v>0.39785406833795833</v>
      </c>
      <c r="Y63" s="279"/>
      <c r="Z63" s="279"/>
      <c r="AA63" s="279"/>
      <c r="AB63" s="279"/>
      <c r="AC63" s="279"/>
      <c r="AD63" s="279"/>
      <c r="AE63" s="279"/>
      <c r="AF63" s="279"/>
      <c r="AG63" s="279"/>
      <c r="AH63" s="279"/>
      <c r="AI63" s="279"/>
      <c r="AJ63" s="279"/>
      <c r="AK63" s="279"/>
      <c r="AL63" s="279"/>
      <c r="AM63" s="279"/>
      <c r="AN63" s="279"/>
      <c r="AO63" s="279"/>
      <c r="AP63" s="279"/>
      <c r="AQ63" s="279"/>
      <c r="AR63" s="279"/>
    </row>
    <row r="64" spans="1:44">
      <c r="A64" s="227" t="s">
        <v>17</v>
      </c>
      <c r="B64" s="227" t="s">
        <v>432</v>
      </c>
      <c r="C64" s="227" t="s">
        <v>441</v>
      </c>
      <c r="D64" s="227" t="s">
        <v>148</v>
      </c>
      <c r="F64" s="51">
        <f>[3]Calib_1011!$AC$35</f>
        <v>1.4841793377794028</v>
      </c>
      <c r="G64" s="65">
        <f t="shared" si="32"/>
        <v>1.4841793377794028</v>
      </c>
      <c r="H64" s="65">
        <f t="shared" si="32"/>
        <v>1.4841793377794028</v>
      </c>
      <c r="I64" s="65">
        <f t="shared" si="33"/>
        <v>1.4841793377794028</v>
      </c>
      <c r="J64" s="65">
        <f t="shared" si="33"/>
        <v>1.4841793377794028</v>
      </c>
      <c r="K64" s="65">
        <f t="shared" si="33"/>
        <v>1.4841793377794028</v>
      </c>
      <c r="L64" s="65">
        <f t="shared" si="33"/>
        <v>1.4841793377794028</v>
      </c>
      <c r="M64" s="228"/>
      <c r="N64" s="86">
        <f t="shared" ref="N64:N70" si="36">$G64</f>
        <v>1.4841793377794028</v>
      </c>
      <c r="O64" s="47">
        <f t="shared" si="34"/>
        <v>1.4841793377794028</v>
      </c>
      <c r="P64" s="47">
        <f t="shared" si="34"/>
        <v>1.4841793377794028</v>
      </c>
      <c r="Q64" s="47">
        <f t="shared" si="34"/>
        <v>1.4841793377794028</v>
      </c>
      <c r="R64" s="47">
        <f t="shared" ref="R64:R70" si="37">P64</f>
        <v>1.4841793377794028</v>
      </c>
      <c r="S64" s="279"/>
      <c r="T64" s="86">
        <f t="shared" ref="T64:T70" si="38">$G64</f>
        <v>1.4841793377794028</v>
      </c>
      <c r="U64" s="47">
        <f t="shared" si="35"/>
        <v>1.4841793377794028</v>
      </c>
      <c r="V64" s="47">
        <f t="shared" si="35"/>
        <v>1.4841793377794028</v>
      </c>
      <c r="W64" s="47">
        <f t="shared" si="35"/>
        <v>1.4841793377794028</v>
      </c>
      <c r="X64" s="47">
        <f t="shared" ref="X64:X70" si="39">V64</f>
        <v>1.4841793377794028</v>
      </c>
      <c r="Y64" s="279"/>
      <c r="Z64" s="279"/>
      <c r="AA64" s="279"/>
      <c r="AB64" s="279"/>
      <c r="AC64" s="279"/>
      <c r="AD64" s="279"/>
      <c r="AE64" s="279"/>
      <c r="AF64" s="279"/>
      <c r="AG64" s="279"/>
      <c r="AH64" s="279"/>
      <c r="AI64" s="279"/>
      <c r="AJ64" s="279"/>
      <c r="AK64" s="279"/>
      <c r="AL64" s="279"/>
      <c r="AM64" s="279"/>
      <c r="AN64" s="279"/>
      <c r="AO64" s="279"/>
      <c r="AP64" s="279"/>
      <c r="AQ64" s="279"/>
      <c r="AR64" s="279"/>
    </row>
    <row r="65" spans="1:44">
      <c r="A65" s="227" t="s">
        <v>17</v>
      </c>
      <c r="B65" s="227" t="s">
        <v>433</v>
      </c>
      <c r="C65" s="227" t="s">
        <v>442</v>
      </c>
      <c r="D65" s="227" t="s">
        <v>148</v>
      </c>
      <c r="F65" s="51">
        <f>[3]Calib_1011!$AC27</f>
        <v>2.5010052180158762</v>
      </c>
      <c r="G65" s="65">
        <f t="shared" si="32"/>
        <v>2.5010052180158762</v>
      </c>
      <c r="H65" s="65">
        <f t="shared" si="32"/>
        <v>2.5010052180158762</v>
      </c>
      <c r="I65" s="65">
        <f t="shared" si="33"/>
        <v>2.5010052180158762</v>
      </c>
      <c r="J65" s="65">
        <f t="shared" si="33"/>
        <v>2.5010052180158762</v>
      </c>
      <c r="K65" s="65">
        <f t="shared" si="33"/>
        <v>2.5010052180158762</v>
      </c>
      <c r="L65" s="65">
        <f t="shared" si="33"/>
        <v>2.5010052180158762</v>
      </c>
      <c r="M65" s="228"/>
      <c r="N65" s="86">
        <f t="shared" si="36"/>
        <v>2.5010052180158762</v>
      </c>
      <c r="O65" s="47">
        <f t="shared" si="34"/>
        <v>2.5010052180158762</v>
      </c>
      <c r="P65" s="47">
        <f t="shared" si="34"/>
        <v>2.5010052180158762</v>
      </c>
      <c r="Q65" s="47">
        <f t="shared" si="34"/>
        <v>2.5010052180158762</v>
      </c>
      <c r="R65" s="47">
        <f t="shared" si="37"/>
        <v>2.5010052180158762</v>
      </c>
      <c r="S65" s="279"/>
      <c r="T65" s="86">
        <f t="shared" si="38"/>
        <v>2.5010052180158762</v>
      </c>
      <c r="U65" s="47">
        <f t="shared" si="35"/>
        <v>2.5010052180158762</v>
      </c>
      <c r="V65" s="47">
        <f t="shared" si="35"/>
        <v>2.5010052180158762</v>
      </c>
      <c r="W65" s="47">
        <f t="shared" si="35"/>
        <v>2.5010052180158762</v>
      </c>
      <c r="X65" s="47">
        <f t="shared" si="39"/>
        <v>2.5010052180158762</v>
      </c>
      <c r="Y65" s="279"/>
      <c r="Z65" s="279"/>
      <c r="AA65" s="279"/>
      <c r="AB65" s="279"/>
      <c r="AC65" s="279"/>
      <c r="AD65" s="279"/>
      <c r="AE65" s="279"/>
      <c r="AF65" s="279"/>
      <c r="AG65" s="279"/>
      <c r="AH65" s="279"/>
      <c r="AI65" s="279"/>
      <c r="AJ65" s="279"/>
      <c r="AK65" s="279"/>
      <c r="AL65" s="279"/>
      <c r="AM65" s="279"/>
      <c r="AN65" s="279"/>
      <c r="AO65" s="279"/>
      <c r="AP65" s="279"/>
      <c r="AQ65" s="279"/>
      <c r="AR65" s="279"/>
    </row>
    <row r="66" spans="1:44">
      <c r="A66" s="227" t="s">
        <v>17</v>
      </c>
      <c r="B66" s="227" t="s">
        <v>434</v>
      </c>
      <c r="C66" s="227" t="s">
        <v>443</v>
      </c>
      <c r="D66" s="227" t="s">
        <v>148</v>
      </c>
      <c r="F66" s="51">
        <f>[3]Calib_1011!$AC28</f>
        <v>3.8604597839440302</v>
      </c>
      <c r="G66" s="65">
        <f t="shared" si="32"/>
        <v>3.8604597839440302</v>
      </c>
      <c r="H66" s="65">
        <f t="shared" si="32"/>
        <v>3.8604597839440302</v>
      </c>
      <c r="I66" s="65">
        <f t="shared" si="33"/>
        <v>3.8604597839440302</v>
      </c>
      <c r="J66" s="65">
        <f t="shared" si="33"/>
        <v>3.8604597839440302</v>
      </c>
      <c r="K66" s="65">
        <f t="shared" si="33"/>
        <v>3.8604597839440302</v>
      </c>
      <c r="L66" s="65">
        <f t="shared" si="33"/>
        <v>3.8604597839440302</v>
      </c>
      <c r="M66" s="228"/>
      <c r="N66" s="86">
        <f t="shared" si="36"/>
        <v>3.8604597839440302</v>
      </c>
      <c r="O66" s="47">
        <f t="shared" si="34"/>
        <v>3.8604597839440302</v>
      </c>
      <c r="P66" s="47">
        <f t="shared" si="34"/>
        <v>3.8604597839440302</v>
      </c>
      <c r="Q66" s="47">
        <f t="shared" si="34"/>
        <v>3.8604597839440302</v>
      </c>
      <c r="R66" s="47">
        <f t="shared" si="37"/>
        <v>3.8604597839440302</v>
      </c>
      <c r="S66" s="279"/>
      <c r="T66" s="86">
        <f t="shared" si="38"/>
        <v>3.8604597839440302</v>
      </c>
      <c r="U66" s="47">
        <f t="shared" si="35"/>
        <v>3.8604597839440302</v>
      </c>
      <c r="V66" s="47">
        <f t="shared" si="35"/>
        <v>3.8604597839440302</v>
      </c>
      <c r="W66" s="47">
        <f t="shared" si="35"/>
        <v>3.8604597839440302</v>
      </c>
      <c r="X66" s="47">
        <f t="shared" si="39"/>
        <v>3.8604597839440302</v>
      </c>
      <c r="Y66" s="279"/>
      <c r="Z66" s="279"/>
      <c r="AA66" s="279"/>
      <c r="AB66" s="279"/>
      <c r="AC66" s="279"/>
      <c r="AD66" s="279"/>
      <c r="AE66" s="279"/>
      <c r="AF66" s="279"/>
      <c r="AG66" s="279"/>
      <c r="AH66" s="279"/>
      <c r="AI66" s="279"/>
      <c r="AJ66" s="279"/>
      <c r="AK66" s="279"/>
      <c r="AL66" s="279"/>
      <c r="AM66" s="279"/>
      <c r="AN66" s="279"/>
      <c r="AO66" s="279"/>
      <c r="AP66" s="279"/>
      <c r="AQ66" s="279"/>
      <c r="AR66" s="279"/>
    </row>
    <row r="67" spans="1:44">
      <c r="A67" s="227" t="s">
        <v>17</v>
      </c>
      <c r="B67" s="227" t="s">
        <v>435</v>
      </c>
      <c r="C67" s="227" t="s">
        <v>444</v>
      </c>
      <c r="D67" s="227" t="s">
        <v>148</v>
      </c>
      <c r="F67" s="51">
        <f>[3]Calib_1011!$AC29</f>
        <v>6.0039084459078387</v>
      </c>
      <c r="G67" s="65">
        <f t="shared" si="32"/>
        <v>6.0039084459078387</v>
      </c>
      <c r="H67" s="65">
        <f t="shared" si="32"/>
        <v>6.0039084459078387</v>
      </c>
      <c r="I67" s="65">
        <f t="shared" si="33"/>
        <v>6.0039084459078387</v>
      </c>
      <c r="J67" s="65">
        <f t="shared" si="33"/>
        <v>6.0039084459078387</v>
      </c>
      <c r="K67" s="65">
        <f t="shared" si="33"/>
        <v>6.0039084459078387</v>
      </c>
      <c r="L67" s="65">
        <f t="shared" si="33"/>
        <v>6.0039084459078387</v>
      </c>
      <c r="M67" s="228"/>
      <c r="N67" s="86">
        <f t="shared" si="36"/>
        <v>6.0039084459078387</v>
      </c>
      <c r="O67" s="47">
        <f t="shared" si="34"/>
        <v>6.0039084459078387</v>
      </c>
      <c r="P67" s="47">
        <f t="shared" si="34"/>
        <v>6.0039084459078387</v>
      </c>
      <c r="Q67" s="47">
        <f t="shared" si="34"/>
        <v>6.0039084459078387</v>
      </c>
      <c r="R67" s="47">
        <f t="shared" si="37"/>
        <v>6.0039084459078387</v>
      </c>
      <c r="S67" s="279"/>
      <c r="T67" s="86">
        <f t="shared" si="38"/>
        <v>6.0039084459078387</v>
      </c>
      <c r="U67" s="47">
        <f t="shared" si="35"/>
        <v>6.0039084459078387</v>
      </c>
      <c r="V67" s="47">
        <f t="shared" si="35"/>
        <v>6.0039084459078387</v>
      </c>
      <c r="W67" s="47">
        <f t="shared" si="35"/>
        <v>6.0039084459078387</v>
      </c>
      <c r="X67" s="47">
        <f t="shared" si="39"/>
        <v>6.0039084459078387</v>
      </c>
      <c r="Y67" s="279"/>
      <c r="Z67" s="279"/>
      <c r="AA67" s="279"/>
      <c r="AB67" s="279"/>
      <c r="AC67" s="279"/>
      <c r="AD67" s="279"/>
      <c r="AE67" s="279"/>
      <c r="AF67" s="279"/>
      <c r="AG67" s="279"/>
      <c r="AH67" s="279"/>
      <c r="AI67" s="279"/>
      <c r="AJ67" s="279"/>
      <c r="AK67" s="279"/>
      <c r="AL67" s="279"/>
      <c r="AM67" s="279"/>
      <c r="AN67" s="279"/>
      <c r="AO67" s="279"/>
      <c r="AP67" s="279"/>
      <c r="AQ67" s="279"/>
      <c r="AR67" s="279"/>
    </row>
    <row r="68" spans="1:44">
      <c r="A68" s="227" t="s">
        <v>17</v>
      </c>
      <c r="B68" s="227" t="s">
        <v>436</v>
      </c>
      <c r="C68" s="227" t="s">
        <v>445</v>
      </c>
      <c r="D68" s="227" t="s">
        <v>148</v>
      </c>
      <c r="F68" s="51">
        <f>[3]Calib_1011!$AC30</f>
        <v>7.4777222934684477</v>
      </c>
      <c r="G68" s="65">
        <f t="shared" si="32"/>
        <v>7.4777222934684477</v>
      </c>
      <c r="H68" s="65">
        <f t="shared" si="32"/>
        <v>7.4777222934684477</v>
      </c>
      <c r="I68" s="65">
        <f t="shared" si="33"/>
        <v>7.4777222934684477</v>
      </c>
      <c r="J68" s="65">
        <f t="shared" si="33"/>
        <v>7.4777222934684477</v>
      </c>
      <c r="K68" s="65">
        <f t="shared" si="33"/>
        <v>7.4777222934684477</v>
      </c>
      <c r="L68" s="65">
        <f t="shared" si="33"/>
        <v>7.4777222934684477</v>
      </c>
      <c r="M68" s="228"/>
      <c r="N68" s="86">
        <f t="shared" si="36"/>
        <v>7.4777222934684477</v>
      </c>
      <c r="O68" s="47">
        <f t="shared" si="34"/>
        <v>7.4777222934684477</v>
      </c>
      <c r="P68" s="47">
        <f t="shared" si="34"/>
        <v>7.4777222934684477</v>
      </c>
      <c r="Q68" s="47">
        <f t="shared" si="34"/>
        <v>7.4777222934684477</v>
      </c>
      <c r="R68" s="47">
        <f t="shared" si="37"/>
        <v>7.4777222934684477</v>
      </c>
      <c r="S68" s="279"/>
      <c r="T68" s="86">
        <f t="shared" si="38"/>
        <v>7.4777222934684477</v>
      </c>
      <c r="U68" s="47">
        <f t="shared" si="35"/>
        <v>7.4777222934684477</v>
      </c>
      <c r="V68" s="47">
        <f t="shared" si="35"/>
        <v>7.4777222934684477</v>
      </c>
      <c r="W68" s="47">
        <f t="shared" si="35"/>
        <v>7.4777222934684477</v>
      </c>
      <c r="X68" s="47">
        <f t="shared" si="39"/>
        <v>7.4777222934684477</v>
      </c>
      <c r="Y68" s="279"/>
      <c r="Z68" s="279"/>
      <c r="AA68" s="279"/>
      <c r="AB68" s="279"/>
      <c r="AC68" s="279"/>
      <c r="AD68" s="279"/>
      <c r="AE68" s="279"/>
      <c r="AF68" s="279"/>
      <c r="AG68" s="279"/>
      <c r="AH68" s="279"/>
      <c r="AI68" s="279"/>
      <c r="AJ68" s="279"/>
      <c r="AK68" s="279"/>
      <c r="AL68" s="279"/>
      <c r="AM68" s="279"/>
      <c r="AN68" s="279"/>
      <c r="AO68" s="279"/>
      <c r="AP68" s="279"/>
      <c r="AQ68" s="279"/>
      <c r="AR68" s="279"/>
    </row>
    <row r="69" spans="1:44">
      <c r="A69" s="227" t="s">
        <v>17</v>
      </c>
      <c r="B69" s="227" t="s">
        <v>437</v>
      </c>
      <c r="C69" s="227" t="s">
        <v>446</v>
      </c>
      <c r="D69" s="227" t="s">
        <v>148</v>
      </c>
      <c r="F69" s="51">
        <f>[3]Calib_1011!$AC31</f>
        <v>10.302260917235891</v>
      </c>
      <c r="G69" s="65">
        <f t="shared" si="32"/>
        <v>10.302260917235891</v>
      </c>
      <c r="H69" s="65">
        <f t="shared" si="32"/>
        <v>10.302260917235891</v>
      </c>
      <c r="I69" s="65">
        <f t="shared" si="33"/>
        <v>10.302260917235891</v>
      </c>
      <c r="J69" s="65">
        <f t="shared" si="33"/>
        <v>10.302260917235891</v>
      </c>
      <c r="K69" s="65">
        <f t="shared" si="33"/>
        <v>10.302260917235891</v>
      </c>
      <c r="L69" s="65">
        <f t="shared" si="33"/>
        <v>10.302260917235891</v>
      </c>
      <c r="M69" s="228"/>
      <c r="N69" s="86">
        <f t="shared" si="36"/>
        <v>10.302260917235891</v>
      </c>
      <c r="O69" s="47">
        <f t="shared" si="34"/>
        <v>10.302260917235891</v>
      </c>
      <c r="P69" s="47">
        <f t="shared" si="34"/>
        <v>10.302260917235891</v>
      </c>
      <c r="Q69" s="47">
        <f t="shared" si="34"/>
        <v>10.302260917235891</v>
      </c>
      <c r="R69" s="47">
        <f t="shared" si="37"/>
        <v>10.302260917235891</v>
      </c>
      <c r="S69" s="279"/>
      <c r="T69" s="86">
        <f t="shared" si="38"/>
        <v>10.302260917235891</v>
      </c>
      <c r="U69" s="47">
        <f t="shared" si="35"/>
        <v>10.302260917235891</v>
      </c>
      <c r="V69" s="47">
        <f t="shared" si="35"/>
        <v>10.302260917235891</v>
      </c>
      <c r="W69" s="47">
        <f t="shared" si="35"/>
        <v>10.302260917235891</v>
      </c>
      <c r="X69" s="47">
        <f t="shared" si="39"/>
        <v>10.302260917235891</v>
      </c>
      <c r="Y69" s="279"/>
      <c r="Z69" s="279"/>
      <c r="AA69" s="279"/>
      <c r="AB69" s="279"/>
      <c r="AC69" s="279"/>
      <c r="AD69" s="279"/>
      <c r="AE69" s="279"/>
      <c r="AF69" s="279"/>
      <c r="AG69" s="279"/>
      <c r="AH69" s="279"/>
      <c r="AI69" s="279"/>
      <c r="AJ69" s="279"/>
      <c r="AK69" s="279"/>
      <c r="AL69" s="279"/>
      <c r="AM69" s="279"/>
      <c r="AN69" s="279"/>
      <c r="AO69" s="279"/>
      <c r="AP69" s="279"/>
      <c r="AQ69" s="279"/>
      <c r="AR69" s="279"/>
    </row>
    <row r="70" spans="1:44">
      <c r="A70" s="227" t="s">
        <v>17</v>
      </c>
      <c r="B70" s="227" t="s">
        <v>438</v>
      </c>
      <c r="C70" s="227" t="s">
        <v>447</v>
      </c>
      <c r="D70" s="227" t="s">
        <v>148</v>
      </c>
      <c r="F70" s="51">
        <f>[3]Calib_1011!$AC32</f>
        <v>13.929123617232234</v>
      </c>
      <c r="G70" s="65">
        <f t="shared" si="32"/>
        <v>13.929123617232234</v>
      </c>
      <c r="H70" s="65">
        <f t="shared" si="32"/>
        <v>13.929123617232234</v>
      </c>
      <c r="I70" s="65">
        <f t="shared" si="33"/>
        <v>13.929123617232234</v>
      </c>
      <c r="J70" s="65">
        <f t="shared" si="33"/>
        <v>13.929123617232234</v>
      </c>
      <c r="K70" s="65">
        <f t="shared" si="33"/>
        <v>13.929123617232234</v>
      </c>
      <c r="L70" s="65">
        <f t="shared" si="33"/>
        <v>13.929123617232234</v>
      </c>
      <c r="M70" s="228"/>
      <c r="N70" s="86">
        <f t="shared" si="36"/>
        <v>13.929123617232234</v>
      </c>
      <c r="O70" s="47">
        <f t="shared" si="34"/>
        <v>13.929123617232234</v>
      </c>
      <c r="P70" s="47">
        <f t="shared" si="34"/>
        <v>13.929123617232234</v>
      </c>
      <c r="Q70" s="47">
        <f t="shared" si="34"/>
        <v>13.929123617232234</v>
      </c>
      <c r="R70" s="47">
        <f t="shared" si="37"/>
        <v>13.929123617232234</v>
      </c>
      <c r="S70" s="279"/>
      <c r="T70" s="86">
        <f t="shared" si="38"/>
        <v>13.929123617232234</v>
      </c>
      <c r="U70" s="47">
        <f t="shared" si="35"/>
        <v>13.929123617232234</v>
      </c>
      <c r="V70" s="47">
        <f t="shared" si="35"/>
        <v>13.929123617232234</v>
      </c>
      <c r="W70" s="47">
        <f t="shared" si="35"/>
        <v>13.929123617232234</v>
      </c>
      <c r="X70" s="47">
        <f t="shared" si="39"/>
        <v>13.929123617232234</v>
      </c>
      <c r="Y70" s="279"/>
      <c r="Z70" s="279"/>
      <c r="AA70" s="279"/>
      <c r="AB70" s="279"/>
      <c r="AC70" s="279"/>
      <c r="AD70" s="279"/>
      <c r="AE70" s="279"/>
      <c r="AF70" s="279"/>
      <c r="AG70" s="279"/>
      <c r="AH70" s="279"/>
      <c r="AI70" s="279"/>
      <c r="AJ70" s="279"/>
      <c r="AK70" s="279"/>
      <c r="AL70" s="279"/>
      <c r="AM70" s="279"/>
      <c r="AN70" s="279"/>
      <c r="AO70" s="279"/>
      <c r="AP70" s="279"/>
      <c r="AQ70" s="279"/>
      <c r="AR70" s="279"/>
    </row>
    <row r="71" spans="1:44">
      <c r="A71" s="227" t="s">
        <v>17</v>
      </c>
      <c r="B71" s="227" t="s">
        <v>439</v>
      </c>
      <c r="C71" s="227" t="s">
        <v>448</v>
      </c>
      <c r="D71" s="227" t="s">
        <v>148</v>
      </c>
      <c r="F71" s="51">
        <f>[3]Calib_1011!$AC33</f>
        <v>17.52549021473704</v>
      </c>
      <c r="G71" s="65">
        <f t="shared" si="32"/>
        <v>17.52549021473704</v>
      </c>
      <c r="H71" s="65">
        <f t="shared" si="32"/>
        <v>17.52549021473704</v>
      </c>
      <c r="I71" s="65">
        <f t="shared" si="33"/>
        <v>17.52549021473704</v>
      </c>
      <c r="J71" s="65">
        <f t="shared" si="33"/>
        <v>17.52549021473704</v>
      </c>
      <c r="K71" s="65">
        <f t="shared" si="33"/>
        <v>17.52549021473704</v>
      </c>
      <c r="L71" s="65">
        <f t="shared" si="33"/>
        <v>17.52549021473704</v>
      </c>
      <c r="M71" s="228"/>
      <c r="N71" s="86">
        <f>$G71</f>
        <v>17.52549021473704</v>
      </c>
      <c r="O71" s="47">
        <f t="shared" si="34"/>
        <v>17.52549021473704</v>
      </c>
      <c r="P71" s="47">
        <f t="shared" si="34"/>
        <v>17.52549021473704</v>
      </c>
      <c r="Q71" s="47">
        <f t="shared" si="34"/>
        <v>17.52549021473704</v>
      </c>
      <c r="R71" s="47">
        <f>P71</f>
        <v>17.52549021473704</v>
      </c>
      <c r="S71" s="279"/>
      <c r="T71" s="86">
        <f>$G71</f>
        <v>17.52549021473704</v>
      </c>
      <c r="U71" s="47">
        <f t="shared" si="35"/>
        <v>17.52549021473704</v>
      </c>
      <c r="V71" s="47">
        <f t="shared" si="35"/>
        <v>17.52549021473704</v>
      </c>
      <c r="W71" s="47">
        <f t="shared" si="35"/>
        <v>17.52549021473704</v>
      </c>
      <c r="X71" s="47">
        <f>V71</f>
        <v>17.52549021473704</v>
      </c>
      <c r="Y71" s="279"/>
      <c r="Z71" s="279"/>
      <c r="AA71" s="279"/>
      <c r="AB71" s="279"/>
      <c r="AC71" s="279"/>
      <c r="AD71" s="279"/>
      <c r="AE71" s="279"/>
      <c r="AF71" s="279"/>
      <c r="AG71" s="279"/>
      <c r="AH71" s="279"/>
      <c r="AI71" s="279"/>
      <c r="AJ71" s="279"/>
      <c r="AK71" s="279"/>
      <c r="AL71" s="279"/>
      <c r="AM71" s="279"/>
      <c r="AN71" s="279"/>
      <c r="AO71" s="279"/>
      <c r="AP71" s="279"/>
      <c r="AQ71" s="279"/>
      <c r="AR71" s="279"/>
    </row>
    <row r="72" spans="1:44">
      <c r="A72" s="227" t="s">
        <v>17</v>
      </c>
      <c r="B72" s="227" t="s">
        <v>440</v>
      </c>
      <c r="C72" s="227" t="s">
        <v>449</v>
      </c>
      <c r="D72" s="227" t="s">
        <v>148</v>
      </c>
      <c r="F72" s="51">
        <f>[3]Calib_1011!$AC34</f>
        <v>21.906335545077848</v>
      </c>
      <c r="G72" s="65">
        <f t="shared" si="32"/>
        <v>21.906335545077848</v>
      </c>
      <c r="H72" s="65">
        <f t="shared" si="32"/>
        <v>21.906335545077848</v>
      </c>
      <c r="I72" s="65">
        <f t="shared" si="33"/>
        <v>21.906335545077848</v>
      </c>
      <c r="J72" s="65">
        <f t="shared" si="33"/>
        <v>21.906335545077848</v>
      </c>
      <c r="K72" s="65">
        <f t="shared" si="33"/>
        <v>21.906335545077848</v>
      </c>
      <c r="L72" s="65">
        <f t="shared" si="33"/>
        <v>21.906335545077848</v>
      </c>
      <c r="M72" s="228"/>
      <c r="N72" s="86">
        <f>$G72</f>
        <v>21.906335545077848</v>
      </c>
      <c r="O72" s="47">
        <f t="shared" si="34"/>
        <v>21.906335545077848</v>
      </c>
      <c r="P72" s="47">
        <f t="shared" si="34"/>
        <v>21.906335545077848</v>
      </c>
      <c r="Q72" s="47">
        <f t="shared" si="34"/>
        <v>21.906335545077848</v>
      </c>
      <c r="R72" s="47">
        <f>P72</f>
        <v>21.906335545077848</v>
      </c>
      <c r="S72" s="279"/>
      <c r="T72" s="86">
        <f>$G72</f>
        <v>21.906335545077848</v>
      </c>
      <c r="U72" s="47">
        <f t="shared" si="35"/>
        <v>21.906335545077848</v>
      </c>
      <c r="V72" s="47">
        <f t="shared" si="35"/>
        <v>21.906335545077848</v>
      </c>
      <c r="W72" s="47">
        <f t="shared" si="35"/>
        <v>21.906335545077848</v>
      </c>
      <c r="X72" s="47">
        <f>V72</f>
        <v>21.906335545077848</v>
      </c>
      <c r="Y72" s="279"/>
      <c r="Z72" s="279"/>
      <c r="AA72" s="279"/>
      <c r="AB72" s="279"/>
      <c r="AC72" s="279"/>
      <c r="AD72" s="279"/>
      <c r="AE72" s="279"/>
      <c r="AF72" s="279"/>
      <c r="AG72" s="279"/>
      <c r="AH72" s="279"/>
      <c r="AI72" s="279"/>
      <c r="AJ72" s="279"/>
      <c r="AK72" s="279"/>
      <c r="AL72" s="279"/>
      <c r="AM72" s="279"/>
      <c r="AN72" s="279"/>
      <c r="AO72" s="279"/>
      <c r="AP72" s="279"/>
      <c r="AQ72" s="279"/>
      <c r="AR72" s="279"/>
    </row>
    <row r="73" spans="1:44">
      <c r="A73" s="227" t="s">
        <v>17</v>
      </c>
      <c r="N73" s="232">
        <f>SUM(N86:N88)/N89</f>
        <v>0.51984892323921983</v>
      </c>
      <c r="AA73" s="227" t="s">
        <v>511</v>
      </c>
    </row>
    <row r="74" spans="1:44">
      <c r="A74" s="227" t="s">
        <v>17</v>
      </c>
      <c r="N74" s="5" t="s">
        <v>42</v>
      </c>
      <c r="T74" s="5" t="s">
        <v>198</v>
      </c>
      <c r="AA74" s="7" t="str">
        <f>N74</f>
        <v>Reference</v>
      </c>
      <c r="AG74" s="7" t="s">
        <v>508</v>
      </c>
    </row>
    <row r="75" spans="1:44" ht="15" thickBot="1">
      <c r="A75" s="227" t="s">
        <v>17</v>
      </c>
      <c r="B75" s="14" t="s">
        <v>211</v>
      </c>
      <c r="C75" s="14"/>
      <c r="D75" s="14"/>
      <c r="F75" s="227">
        <f t="shared" ref="F75:L75" si="40">F$4</f>
        <v>2012</v>
      </c>
      <c r="G75" s="227">
        <f t="shared" si="40"/>
        <v>2015</v>
      </c>
      <c r="H75" s="227">
        <f t="shared" si="40"/>
        <v>2017</v>
      </c>
      <c r="I75" s="227">
        <f t="shared" si="40"/>
        <v>2020</v>
      </c>
      <c r="J75" s="227">
        <f t="shared" si="40"/>
        <v>2030</v>
      </c>
      <c r="K75" s="227">
        <f t="shared" si="40"/>
        <v>2040</v>
      </c>
      <c r="L75" s="227">
        <f t="shared" si="40"/>
        <v>2050</v>
      </c>
      <c r="N75" s="7">
        <f t="shared" ref="N75:S75" si="41">N$4</f>
        <v>2015</v>
      </c>
      <c r="O75" s="7">
        <f t="shared" si="41"/>
        <v>2020</v>
      </c>
      <c r="P75" s="7">
        <f t="shared" si="41"/>
        <v>2030</v>
      </c>
      <c r="Q75" s="7">
        <f t="shared" si="41"/>
        <v>2040</v>
      </c>
      <c r="R75" s="7">
        <f t="shared" si="41"/>
        <v>2050</v>
      </c>
      <c r="S75" s="227">
        <f t="shared" si="41"/>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227" t="s">
        <v>17</v>
      </c>
      <c r="B76" s="228" t="str">
        <f>B92</f>
        <v>TFLCV</v>
      </c>
      <c r="C76" s="228" t="str">
        <f>C92</f>
        <v>Transport Freight - LCV</v>
      </c>
      <c r="D76" s="227" t="s">
        <v>150</v>
      </c>
      <c r="F76" s="280">
        <f t="shared" ref="F76:K76" si="42">F43</f>
        <v>17.152485013399282</v>
      </c>
      <c r="G76" s="280">
        <f t="shared" si="42"/>
        <v>18.11311261142399</v>
      </c>
      <c r="H76" s="280">
        <f t="shared" si="42"/>
        <v>18.359337168808555</v>
      </c>
      <c r="I76" s="280">
        <f t="shared" si="42"/>
        <v>18.727136245807788</v>
      </c>
      <c r="J76" s="280">
        <f t="shared" si="42"/>
        <v>21.418483412524825</v>
      </c>
      <c r="K76" s="280">
        <f t="shared" si="42"/>
        <v>25.214412307944187</v>
      </c>
      <c r="L76" s="280">
        <f>L43</f>
        <v>29.325475110464836</v>
      </c>
      <c r="M76" s="8"/>
      <c r="N76" s="280">
        <f>N43</f>
        <v>18.11311261142399</v>
      </c>
      <c r="O76" s="280">
        <f>O43</f>
        <v>18.727136245807788</v>
      </c>
      <c r="P76" s="280">
        <f>P43</f>
        <v>21.418483412524825</v>
      </c>
      <c r="Q76" s="280">
        <f>Q43</f>
        <v>25.214412307944187</v>
      </c>
      <c r="R76" s="280">
        <f>R43</f>
        <v>29.325475110464836</v>
      </c>
      <c r="S76" s="8"/>
      <c r="T76" s="280">
        <f>T43</f>
        <v>18.11311261142399</v>
      </c>
      <c r="U76" s="280">
        <f>U43</f>
        <v>18.727136245807788</v>
      </c>
      <c r="V76" s="280">
        <f>V43</f>
        <v>21.418483412524825</v>
      </c>
      <c r="W76" s="280">
        <f>W43</f>
        <v>25.214412307944187</v>
      </c>
      <c r="X76" s="280">
        <f>X43</f>
        <v>29.325475110464836</v>
      </c>
      <c r="Y76" s="228"/>
      <c r="Z76" s="227" t="s">
        <v>657</v>
      </c>
      <c r="AA76" s="228">
        <f>SUM(N78:N85)</f>
        <v>98.376909004312168</v>
      </c>
      <c r="AB76" s="228">
        <f>SUM(O78:O85)</f>
        <v>101.71182711044561</v>
      </c>
      <c r="AC76" s="228">
        <f>SUM(P78:P85)</f>
        <v>116.32921623616363</v>
      </c>
      <c r="AD76" s="228">
        <f>SUM(Q78:Q85)</f>
        <v>136.94586890887902</v>
      </c>
      <c r="AE76" s="228">
        <f>SUM(R78:R85)</f>
        <v>159.2740937651364</v>
      </c>
      <c r="AF76" s="228"/>
      <c r="AG76" s="228">
        <f>SUM(T78:T85)</f>
        <v>98.376909004312168</v>
      </c>
      <c r="AH76" s="228">
        <f>SUM(U78:U85)</f>
        <v>96.626235754923314</v>
      </c>
      <c r="AI76" s="228">
        <f>SUM(V78:V85)</f>
        <v>104.98711765313767</v>
      </c>
      <c r="AJ76" s="228">
        <f>SUM(W78:W85)</f>
        <v>117.41396435575014</v>
      </c>
      <c r="AK76" s="228">
        <f>SUM(X78:X85)</f>
        <v>129.72974483478961</v>
      </c>
      <c r="AL76" s="228"/>
      <c r="AM76" s="228"/>
      <c r="AN76" s="228"/>
      <c r="AO76" s="228"/>
      <c r="AP76" s="228"/>
      <c r="AQ76" s="228"/>
      <c r="AR76" s="228"/>
    </row>
    <row r="77" spans="1:44">
      <c r="A77" s="227" t="s">
        <v>17</v>
      </c>
      <c r="B77" s="228" t="str">
        <f t="shared" ref="B77:C88" si="43">B93</f>
        <v>TFHCV1</v>
      </c>
      <c r="C77" s="228" t="str">
        <f t="shared" si="43"/>
        <v>Transport Freight - HCV1</v>
      </c>
      <c r="D77" s="227" t="s">
        <v>150</v>
      </c>
      <c r="F77" s="280">
        <f t="shared" ref="F77:K77" si="44">F46</f>
        <v>4.9126336080498234</v>
      </c>
      <c r="G77" s="280">
        <f t="shared" si="44"/>
        <v>5.1877664193707353</v>
      </c>
      <c r="H77" s="280">
        <f t="shared" si="44"/>
        <v>5.2582874566892164</v>
      </c>
      <c r="I77" s="280">
        <f t="shared" si="44"/>
        <v>5.3636285839523863</v>
      </c>
      <c r="J77" s="280">
        <f t="shared" si="44"/>
        <v>6.1344558157975246</v>
      </c>
      <c r="K77" s="280">
        <f t="shared" si="44"/>
        <v>7.2216456807551106</v>
      </c>
      <c r="L77" s="280">
        <f>L46</f>
        <v>8.3990928712169879</v>
      </c>
      <c r="M77" s="8"/>
      <c r="N77" s="280">
        <f>N46</f>
        <v>5.1877664193707353</v>
      </c>
      <c r="O77" s="280">
        <f>O46</f>
        <v>5.3636285839523863</v>
      </c>
      <c r="P77" s="280">
        <f>P46</f>
        <v>6.1344558157975246</v>
      </c>
      <c r="Q77" s="280">
        <f>Q46</f>
        <v>7.2216456807551106</v>
      </c>
      <c r="R77" s="280">
        <f>R46</f>
        <v>8.3990928712169879</v>
      </c>
      <c r="S77" s="8"/>
      <c r="T77" s="280">
        <f>T46</f>
        <v>5.1877664193707353</v>
      </c>
      <c r="U77" s="280">
        <f>U46</f>
        <v>5.0954471547547673</v>
      </c>
      <c r="V77" s="280">
        <f>V46</f>
        <v>5.5363463737572651</v>
      </c>
      <c r="W77" s="280">
        <f>W46</f>
        <v>6.1916584655374116</v>
      </c>
      <c r="X77" s="280">
        <f>X46</f>
        <v>6.8411136379366786</v>
      </c>
      <c r="Y77" s="228"/>
      <c r="Z77" s="227" t="s">
        <v>509</v>
      </c>
      <c r="AA77" s="228">
        <f>N86</f>
        <v>23.232113430796417</v>
      </c>
      <c r="AB77" s="228">
        <f>O86</f>
        <v>24.019668117239277</v>
      </c>
      <c r="AC77" s="228">
        <f>P86</f>
        <v>27.471624939910804</v>
      </c>
      <c r="AD77" s="228">
        <f>Q86</f>
        <v>32.340332630603356</v>
      </c>
      <c r="AE77" s="228">
        <f>R86</f>
        <v>37.613235162498945</v>
      </c>
      <c r="AF77" s="228"/>
      <c r="AG77" s="228">
        <f>T86</f>
        <v>23.232113430796417</v>
      </c>
      <c r="AH77" s="228">
        <f>U86</f>
        <v>29.105259472761574</v>
      </c>
      <c r="AI77" s="228">
        <f>V86</f>
        <v>38.813723522936776</v>
      </c>
      <c r="AJ77" s="228">
        <f>W86</f>
        <v>51.872237183732253</v>
      </c>
      <c r="AK77" s="228">
        <f>X86</f>
        <v>67.157584092845767</v>
      </c>
      <c r="AL77" s="228"/>
      <c r="AM77" s="228"/>
      <c r="AN77" s="228"/>
      <c r="AO77" s="228"/>
      <c r="AP77" s="228"/>
      <c r="AQ77" s="228"/>
      <c r="AR77" s="228"/>
    </row>
    <row r="78" spans="1:44">
      <c r="A78" s="227" t="s">
        <v>17</v>
      </c>
      <c r="B78" s="228" t="str">
        <f t="shared" si="43"/>
        <v>TFHCV2</v>
      </c>
      <c r="C78" s="228" t="str">
        <f t="shared" si="43"/>
        <v>Transport Freight - HCV2</v>
      </c>
      <c r="D78" s="227" t="s">
        <v>150</v>
      </c>
      <c r="F78" s="280">
        <f t="shared" ref="F78:L86" si="45">F51</f>
        <v>1.637618085804339</v>
      </c>
      <c r="G78" s="280">
        <f t="shared" si="45"/>
        <v>1.7293331420786413</v>
      </c>
      <c r="H78" s="280">
        <f t="shared" si="45"/>
        <v>1.7528412103280606</v>
      </c>
      <c r="I78" s="280">
        <f t="shared" si="45"/>
        <v>1.7879564965367685</v>
      </c>
      <c r="J78" s="280">
        <f t="shared" si="45"/>
        <v>2.0449104476377946</v>
      </c>
      <c r="K78" s="280">
        <f t="shared" si="45"/>
        <v>2.4073233462183765</v>
      </c>
      <c r="L78" s="280">
        <f t="shared" si="45"/>
        <v>2.7998233712599996</v>
      </c>
      <c r="M78" s="8"/>
      <c r="N78" s="280">
        <f>N51</f>
        <v>1.7293331420786413</v>
      </c>
      <c r="O78" s="280">
        <f>O51</f>
        <v>1.7879564965367685</v>
      </c>
      <c r="P78" s="280">
        <f>P51</f>
        <v>2.0449104476377946</v>
      </c>
      <c r="Q78" s="280">
        <f>Q51</f>
        <v>2.4073233462183765</v>
      </c>
      <c r="R78" s="280">
        <f>R51</f>
        <v>2.7998233712599996</v>
      </c>
      <c r="S78" s="8"/>
      <c r="T78" s="280">
        <f>T51</f>
        <v>1.7293331420786413</v>
      </c>
      <c r="U78" s="280">
        <f>U51</f>
        <v>1.6985586717099299</v>
      </c>
      <c r="V78" s="280">
        <f>V51</f>
        <v>1.8455316789931091</v>
      </c>
      <c r="W78" s="280">
        <f>W51</f>
        <v>2.0639788539639801</v>
      </c>
      <c r="X78" s="280">
        <f>X51</f>
        <v>2.2804736347873398</v>
      </c>
      <c r="Y78" s="228"/>
      <c r="Z78" s="228" t="s">
        <v>510</v>
      </c>
      <c r="AA78" s="228">
        <f>SUM(AA76:AA77)</f>
        <v>121.60902243510859</v>
      </c>
      <c r="AB78" s="228">
        <f>SUM(AB76:AB77)</f>
        <v>125.73149522768489</v>
      </c>
      <c r="AC78" s="228">
        <f>SUM(AC76:AC77)</f>
        <v>143.80084117607444</v>
      </c>
      <c r="AD78" s="228">
        <f>SUM(AD76:AD77)</f>
        <v>169.28620153948236</v>
      </c>
      <c r="AE78" s="228">
        <f>SUM(AE76:AE77)</f>
        <v>196.88732892763534</v>
      </c>
      <c r="AF78" s="228"/>
      <c r="AG78" s="228">
        <f>SUM(AG76:AG77)</f>
        <v>121.60902243510859</v>
      </c>
      <c r="AH78" s="228">
        <f>SUM(AH76:AH77)</f>
        <v>125.73149522768489</v>
      </c>
      <c r="AI78" s="228">
        <f>SUM(AI76:AI77)</f>
        <v>143.80084117607444</v>
      </c>
      <c r="AJ78" s="228">
        <f>SUM(AJ76:AJ77)</f>
        <v>169.28620153948239</v>
      </c>
      <c r="AK78" s="228">
        <f>SUM(AK76:AK77)</f>
        <v>196.88732892763539</v>
      </c>
      <c r="AL78" s="228"/>
      <c r="AM78" s="228"/>
      <c r="AN78" s="228"/>
      <c r="AO78" s="228"/>
      <c r="AP78" s="228"/>
      <c r="AQ78" s="228"/>
      <c r="AR78" s="228"/>
    </row>
    <row r="79" spans="1:44">
      <c r="A79" s="227" t="s">
        <v>17</v>
      </c>
      <c r="B79" s="228" t="str">
        <f t="shared" si="43"/>
        <v>TFHCV3</v>
      </c>
      <c r="C79" s="228" t="str">
        <f t="shared" si="43"/>
        <v>Transport Freight - HCV3</v>
      </c>
      <c r="D79" s="227" t="s">
        <v>150</v>
      </c>
      <c r="F79" s="280">
        <f t="shared" si="45"/>
        <v>10.467275163694032</v>
      </c>
      <c r="G79" s="280">
        <f t="shared" si="45"/>
        <v>11.053496541558998</v>
      </c>
      <c r="H79" s="280">
        <f t="shared" si="45"/>
        <v>11.203754664052015</v>
      </c>
      <c r="I79" s="280">
        <f t="shared" si="45"/>
        <v>11.428203432897824</v>
      </c>
      <c r="J79" s="280">
        <f t="shared" si="45"/>
        <v>13.070593519992999</v>
      </c>
      <c r="K79" s="280">
        <f t="shared" si="45"/>
        <v>15.387052751359921</v>
      </c>
      <c r="L79" s="280">
        <f t="shared" si="45"/>
        <v>17.895821920118561</v>
      </c>
      <c r="M79" s="8"/>
      <c r="N79" s="280">
        <f t="shared" ref="N79:R85" si="46">N52</f>
        <v>11.053496541558998</v>
      </c>
      <c r="O79" s="280">
        <f t="shared" si="46"/>
        <v>11.428203432897824</v>
      </c>
      <c r="P79" s="280">
        <f t="shared" si="46"/>
        <v>13.070593519992999</v>
      </c>
      <c r="Q79" s="280">
        <f t="shared" si="46"/>
        <v>15.387052751359921</v>
      </c>
      <c r="R79" s="280">
        <f t="shared" si="46"/>
        <v>17.895821920118561</v>
      </c>
      <c r="S79" s="8"/>
      <c r="T79" s="280">
        <f t="shared" ref="T79:X85" si="47">T52</f>
        <v>11.053496541558998</v>
      </c>
      <c r="U79" s="280">
        <f t="shared" si="47"/>
        <v>10.856793261252934</v>
      </c>
      <c r="V79" s="280">
        <f t="shared" si="47"/>
        <v>11.796210651793681</v>
      </c>
      <c r="W79" s="280">
        <f t="shared" si="47"/>
        <v>13.192474352697213</v>
      </c>
      <c r="X79" s="280">
        <f t="shared" si="47"/>
        <v>14.57625880282357</v>
      </c>
      <c r="Y79" s="228"/>
      <c r="Z79" s="228"/>
      <c r="AA79" s="228"/>
      <c r="AB79" s="228"/>
      <c r="AC79" s="228"/>
      <c r="AD79" s="228"/>
      <c r="AE79" s="228"/>
      <c r="AF79" s="228"/>
      <c r="AG79" s="228"/>
      <c r="AH79" s="228"/>
      <c r="AI79" s="228"/>
      <c r="AJ79" s="228"/>
      <c r="AK79" s="228"/>
      <c r="AL79" s="228"/>
      <c r="AM79" s="228"/>
      <c r="AN79" s="228"/>
      <c r="AO79" s="228"/>
      <c r="AP79" s="228"/>
      <c r="AQ79" s="228"/>
      <c r="AR79" s="228"/>
    </row>
    <row r="80" spans="1:44">
      <c r="A80" s="227" t="s">
        <v>17</v>
      </c>
      <c r="B80" s="228" t="str">
        <f t="shared" si="43"/>
        <v>TFHCV4</v>
      </c>
      <c r="C80" s="228" t="str">
        <f t="shared" si="43"/>
        <v>Transport Freight - HCV4</v>
      </c>
      <c r="D80" s="227" t="s">
        <v>150</v>
      </c>
      <c r="F80" s="280">
        <f t="shared" si="45"/>
        <v>3.423667084889694</v>
      </c>
      <c r="G80" s="280">
        <f t="shared" si="45"/>
        <v>3.6154100938837042</v>
      </c>
      <c r="H80" s="280">
        <f t="shared" si="45"/>
        <v>3.6645569616378832</v>
      </c>
      <c r="I80" s="280">
        <f t="shared" si="45"/>
        <v>3.7379703237712061</v>
      </c>
      <c r="J80" s="280">
        <f t="shared" si="45"/>
        <v>4.2751680943276114</v>
      </c>
      <c r="K80" s="280">
        <f t="shared" si="45"/>
        <v>5.0328423791718579</v>
      </c>
      <c r="L80" s="280">
        <f t="shared" si="45"/>
        <v>5.8534179628210605</v>
      </c>
      <c r="M80" s="8"/>
      <c r="N80" s="280">
        <f t="shared" si="46"/>
        <v>3.6154100938837042</v>
      </c>
      <c r="O80" s="280">
        <f t="shared" si="46"/>
        <v>3.7379703237712061</v>
      </c>
      <c r="P80" s="280">
        <f t="shared" si="46"/>
        <v>4.2751680943276114</v>
      </c>
      <c r="Q80" s="280">
        <f t="shared" si="46"/>
        <v>5.0328423791718579</v>
      </c>
      <c r="R80" s="280">
        <f t="shared" si="46"/>
        <v>5.8534179628210605</v>
      </c>
      <c r="S80" s="8"/>
      <c r="T80" s="280">
        <f t="shared" si="47"/>
        <v>3.6154100938837042</v>
      </c>
      <c r="U80" s="280">
        <f t="shared" si="47"/>
        <v>3.551071807582646</v>
      </c>
      <c r="V80" s="280">
        <f t="shared" si="47"/>
        <v>3.8583392051306693</v>
      </c>
      <c r="W80" s="280">
        <f t="shared" si="47"/>
        <v>4.3150332348424714</v>
      </c>
      <c r="X80" s="280">
        <f t="shared" si="47"/>
        <v>4.7676455145800212</v>
      </c>
      <c r="Y80" s="228"/>
      <c r="Z80" s="228"/>
      <c r="AA80" s="232">
        <f>AA77/AA78</f>
        <v>0.19103938972285739</v>
      </c>
      <c r="AB80" s="232">
        <f t="shared" ref="AB80:AK80" si="48">AB77/AB78</f>
        <v>0.19103938972285739</v>
      </c>
      <c r="AC80" s="232">
        <f t="shared" si="48"/>
        <v>0.19103938972285739</v>
      </c>
      <c r="AD80" s="232">
        <f t="shared" si="48"/>
        <v>0.19103938972285742</v>
      </c>
      <c r="AE80" s="232">
        <f t="shared" si="48"/>
        <v>0.19103938972285742</v>
      </c>
      <c r="AF80" s="232"/>
      <c r="AG80" s="232">
        <f t="shared" si="48"/>
        <v>0.19103938972285739</v>
      </c>
      <c r="AH80" s="232">
        <f t="shared" si="48"/>
        <v>0.23148742023671465</v>
      </c>
      <c r="AI80" s="232">
        <f t="shared" si="48"/>
        <v>0.26991304922487891</v>
      </c>
      <c r="AJ80" s="232">
        <f t="shared" si="48"/>
        <v>0.306417396763635</v>
      </c>
      <c r="AK80" s="232">
        <f t="shared" si="48"/>
        <v>0.34109652692545328</v>
      </c>
      <c r="AL80" s="228"/>
      <c r="AM80" s="228"/>
      <c r="AN80" s="228"/>
      <c r="AO80" s="228"/>
      <c r="AP80" s="228"/>
      <c r="AQ80" s="228"/>
      <c r="AR80" s="228"/>
    </row>
    <row r="81" spans="1:44">
      <c r="A81" s="227" t="s">
        <v>17</v>
      </c>
      <c r="B81" s="228" t="str">
        <f t="shared" si="43"/>
        <v>TFHCV5</v>
      </c>
      <c r="C81" s="228" t="str">
        <f t="shared" si="43"/>
        <v>Transport Freight - HCV5</v>
      </c>
      <c r="D81" s="227" t="s">
        <v>150</v>
      </c>
      <c r="F81" s="280">
        <f t="shared" si="45"/>
        <v>2.0433999272590588</v>
      </c>
      <c r="G81" s="280">
        <f t="shared" si="45"/>
        <v>2.1578408588438007</v>
      </c>
      <c r="H81" s="280">
        <f t="shared" si="45"/>
        <v>2.1871739404501085</v>
      </c>
      <c r="I81" s="280">
        <f t="shared" si="45"/>
        <v>2.2309903674342495</v>
      </c>
      <c r="J81" s="280">
        <f t="shared" si="45"/>
        <v>2.5516143819955408</v>
      </c>
      <c r="K81" s="280">
        <f t="shared" si="45"/>
        <v>3.0038287884049404</v>
      </c>
      <c r="L81" s="280">
        <f t="shared" si="45"/>
        <v>3.4935855452285565</v>
      </c>
      <c r="M81" s="8"/>
      <c r="N81" s="280">
        <f t="shared" si="46"/>
        <v>2.1578408588438007</v>
      </c>
      <c r="O81" s="280">
        <f t="shared" si="46"/>
        <v>2.2309903674342495</v>
      </c>
      <c r="P81" s="280">
        <f t="shared" si="46"/>
        <v>2.5516143819955408</v>
      </c>
      <c r="Q81" s="280">
        <f t="shared" si="46"/>
        <v>3.0038287884049404</v>
      </c>
      <c r="R81" s="280">
        <f t="shared" si="46"/>
        <v>3.4935855452285565</v>
      </c>
      <c r="S81" s="8"/>
      <c r="T81" s="280">
        <f t="shared" si="47"/>
        <v>2.1578408588438007</v>
      </c>
      <c r="U81" s="280">
        <f t="shared" si="47"/>
        <v>2.1194408490625367</v>
      </c>
      <c r="V81" s="280">
        <f t="shared" si="47"/>
        <v>2.3028319797509753</v>
      </c>
      <c r="W81" s="280">
        <f t="shared" si="47"/>
        <v>2.5754077074586856</v>
      </c>
      <c r="X81" s="280">
        <f t="shared" si="47"/>
        <v>2.8455472614983166</v>
      </c>
      <c r="Y81" s="228"/>
      <c r="Z81" s="228"/>
      <c r="AA81" s="228"/>
      <c r="AB81" s="228"/>
      <c r="AC81" s="228"/>
      <c r="AD81" s="228"/>
      <c r="AE81" s="228"/>
      <c r="AF81" s="228"/>
      <c r="AG81" s="228"/>
      <c r="AH81" s="228"/>
      <c r="AI81" s="228"/>
      <c r="AJ81" s="228"/>
      <c r="AK81" s="228"/>
      <c r="AL81" s="228"/>
      <c r="AM81" s="228"/>
      <c r="AN81" s="228"/>
      <c r="AO81" s="228"/>
      <c r="AP81" s="228"/>
      <c r="AQ81" s="228"/>
      <c r="AR81" s="228"/>
    </row>
    <row r="82" spans="1:44">
      <c r="A82" s="227" t="s">
        <v>17</v>
      </c>
      <c r="B82" s="228" t="str">
        <f t="shared" si="43"/>
        <v>TFHCV6</v>
      </c>
      <c r="C82" s="228" t="str">
        <f t="shared" si="43"/>
        <v>Transport Freight - HCV6</v>
      </c>
      <c r="D82" s="227" t="s">
        <v>150</v>
      </c>
      <c r="F82" s="280">
        <f t="shared" si="45"/>
        <v>51.883602656707552</v>
      </c>
      <c r="G82" s="280">
        <f t="shared" si="45"/>
        <v>54.789351914500017</v>
      </c>
      <c r="H82" s="280">
        <f t="shared" si="45"/>
        <v>55.534142951465498</v>
      </c>
      <c r="I82" s="280">
        <f t="shared" si="45"/>
        <v>56.646678024583167</v>
      </c>
      <c r="J82" s="280">
        <f t="shared" si="45"/>
        <v>64.787585123474088</v>
      </c>
      <c r="K82" s="280">
        <f t="shared" si="45"/>
        <v>76.26968036327176</v>
      </c>
      <c r="L82" s="280">
        <f t="shared" si="45"/>
        <v>88.705006718381668</v>
      </c>
      <c r="M82" s="8"/>
      <c r="N82" s="280">
        <f t="shared" si="46"/>
        <v>54.789351914500017</v>
      </c>
      <c r="O82" s="280">
        <f t="shared" si="46"/>
        <v>56.646678024583167</v>
      </c>
      <c r="P82" s="280">
        <f t="shared" si="46"/>
        <v>64.787585123474088</v>
      </c>
      <c r="Q82" s="280">
        <f t="shared" si="46"/>
        <v>76.26968036327176</v>
      </c>
      <c r="R82" s="280">
        <f t="shared" si="46"/>
        <v>88.705006718381668</v>
      </c>
      <c r="S82" s="8"/>
      <c r="T82" s="280">
        <f t="shared" si="47"/>
        <v>54.789351914500017</v>
      </c>
      <c r="U82" s="280">
        <f t="shared" si="47"/>
        <v>53.814344123354005</v>
      </c>
      <c r="V82" s="280">
        <f t="shared" si="47"/>
        <v>58.470795573935355</v>
      </c>
      <c r="W82" s="280">
        <f t="shared" si="47"/>
        <v>65.391717201460111</v>
      </c>
      <c r="X82" s="280">
        <f t="shared" si="47"/>
        <v>72.250782378413831</v>
      </c>
      <c r="Y82" s="228"/>
      <c r="Z82" s="228"/>
      <c r="AA82" s="228"/>
      <c r="AB82" s="228"/>
      <c r="AC82" s="228"/>
      <c r="AD82" s="228"/>
      <c r="AE82" s="228"/>
      <c r="AF82" s="228"/>
      <c r="AG82" s="228"/>
      <c r="AH82" s="228"/>
      <c r="AI82" s="228"/>
      <c r="AJ82" s="228"/>
      <c r="AK82" s="228"/>
      <c r="AL82" s="228"/>
      <c r="AM82" s="228"/>
      <c r="AN82" s="228"/>
      <c r="AO82" s="228"/>
      <c r="AP82" s="228"/>
      <c r="AQ82" s="228"/>
      <c r="AR82" s="228"/>
    </row>
    <row r="83" spans="1:44">
      <c r="A83" s="227" t="s">
        <v>17</v>
      </c>
      <c r="B83" s="228" t="str">
        <f t="shared" si="43"/>
        <v>TFHCV7</v>
      </c>
      <c r="C83" s="228" t="str">
        <f t="shared" si="43"/>
        <v>Transport Freight - HCV7</v>
      </c>
      <c r="D83" s="227" t="s">
        <v>150</v>
      </c>
      <c r="F83" s="280">
        <f t="shared" si="45"/>
        <v>21.803352870590057</v>
      </c>
      <c r="G83" s="280">
        <f t="shared" si="45"/>
        <v>23.024453048237682</v>
      </c>
      <c r="H83" s="280">
        <f t="shared" si="45"/>
        <v>23.337440985896087</v>
      </c>
      <c r="I83" s="280">
        <f t="shared" si="45"/>
        <v>23.804968172483164</v>
      </c>
      <c r="J83" s="280">
        <f t="shared" si="45"/>
        <v>27.2260696587899</v>
      </c>
      <c r="K83" s="280">
        <f t="shared" si="45"/>
        <v>32.051258377150148</v>
      </c>
      <c r="L83" s="280">
        <f t="shared" si="45"/>
        <v>37.277029038747749</v>
      </c>
      <c r="M83" s="8"/>
      <c r="N83" s="280">
        <f t="shared" si="46"/>
        <v>23.024453048237682</v>
      </c>
      <c r="O83" s="280">
        <f t="shared" si="46"/>
        <v>23.804968172483164</v>
      </c>
      <c r="P83" s="280">
        <f t="shared" si="46"/>
        <v>27.2260696587899</v>
      </c>
      <c r="Q83" s="280">
        <f t="shared" si="46"/>
        <v>32.051258377150148</v>
      </c>
      <c r="R83" s="280">
        <f t="shared" si="46"/>
        <v>37.277029038747749</v>
      </c>
      <c r="S83" s="8"/>
      <c r="T83" s="280">
        <f t="shared" si="47"/>
        <v>23.024453048237682</v>
      </c>
      <c r="U83" s="280">
        <f t="shared" si="47"/>
        <v>22.614719763859004</v>
      </c>
      <c r="V83" s="280">
        <f t="shared" si="47"/>
        <v>24.571527867057881</v>
      </c>
      <c r="W83" s="280">
        <f t="shared" si="47"/>
        <v>27.479947651109097</v>
      </c>
      <c r="X83" s="280">
        <f t="shared" si="47"/>
        <v>30.362373133491523</v>
      </c>
      <c r="Y83" s="228"/>
      <c r="Z83" s="228"/>
      <c r="AA83" s="228"/>
      <c r="AB83" s="228"/>
      <c r="AC83" s="228"/>
      <c r="AD83" s="228"/>
      <c r="AE83" s="228"/>
      <c r="AF83" s="228"/>
      <c r="AG83" s="228"/>
      <c r="AH83" s="228"/>
      <c r="AI83" s="228"/>
      <c r="AJ83" s="228"/>
      <c r="AK83" s="228"/>
      <c r="AL83" s="228"/>
      <c r="AM83" s="228"/>
      <c r="AN83" s="228"/>
      <c r="AO83" s="228"/>
      <c r="AP83" s="228"/>
      <c r="AQ83" s="228"/>
      <c r="AR83" s="228"/>
    </row>
    <row r="84" spans="1:44">
      <c r="A84" s="227" t="s">
        <v>17</v>
      </c>
      <c r="B84" s="228" t="str">
        <f>B100</f>
        <v>TFHCV8</v>
      </c>
      <c r="C84" s="228" t="str">
        <f>C100</f>
        <v>Transport Freight - HCV8</v>
      </c>
      <c r="D84" s="227" t="s">
        <v>150</v>
      </c>
      <c r="F84" s="280">
        <f t="shared" si="45"/>
        <v>1.0249985708336284</v>
      </c>
      <c r="G84" s="280">
        <f t="shared" si="45"/>
        <v>1.0824037756368672</v>
      </c>
      <c r="H84" s="280">
        <f t="shared" si="45"/>
        <v>1.0971176680685566</v>
      </c>
      <c r="I84" s="280">
        <f t="shared" si="45"/>
        <v>1.1190966132758335</v>
      </c>
      <c r="J84" s="280">
        <f t="shared" si="45"/>
        <v>1.2799261955402748</v>
      </c>
      <c r="K84" s="280">
        <f t="shared" si="45"/>
        <v>1.5067633966660277</v>
      </c>
      <c r="L84" s="280">
        <f t="shared" si="45"/>
        <v>1.7524323766359367</v>
      </c>
      <c r="M84" s="8"/>
      <c r="N84" s="280">
        <f t="shared" si="46"/>
        <v>1.0824037756368672</v>
      </c>
      <c r="O84" s="280">
        <f t="shared" si="46"/>
        <v>1.1190966132758335</v>
      </c>
      <c r="P84" s="280">
        <f t="shared" si="46"/>
        <v>1.2799261955402748</v>
      </c>
      <c r="Q84" s="280">
        <f t="shared" si="46"/>
        <v>1.5067633966660277</v>
      </c>
      <c r="R84" s="280">
        <f t="shared" si="46"/>
        <v>1.7524323766359367</v>
      </c>
      <c r="S84" s="8"/>
      <c r="T84" s="280">
        <f t="shared" si="47"/>
        <v>1.0824037756368672</v>
      </c>
      <c r="U84" s="280">
        <f t="shared" si="47"/>
        <v>1.0631417826120417</v>
      </c>
      <c r="V84" s="280">
        <f t="shared" si="47"/>
        <v>1.1551333914750981</v>
      </c>
      <c r="W84" s="280">
        <f t="shared" si="47"/>
        <v>1.2918612672165353</v>
      </c>
      <c r="X84" s="280">
        <f t="shared" si="47"/>
        <v>1.4273671234723244</v>
      </c>
      <c r="Y84" s="228"/>
      <c r="Z84" s="228"/>
      <c r="AA84" s="228"/>
      <c r="AB84" s="228"/>
      <c r="AC84" s="228"/>
      <c r="AD84" s="228"/>
      <c r="AE84" s="228"/>
      <c r="AF84" s="228"/>
      <c r="AG84" s="228"/>
      <c r="AH84" s="228"/>
      <c r="AI84" s="228"/>
      <c r="AJ84" s="228"/>
      <c r="AK84" s="228"/>
      <c r="AL84" s="228"/>
      <c r="AM84" s="228"/>
      <c r="AN84" s="228"/>
      <c r="AO84" s="228"/>
      <c r="AP84" s="228"/>
      <c r="AQ84" s="228"/>
      <c r="AR84" s="228"/>
    </row>
    <row r="85" spans="1:44">
      <c r="A85" s="227" t="s">
        <v>17</v>
      </c>
      <c r="B85" s="228" t="str">
        <f t="shared" si="43"/>
        <v>TFHCV9</v>
      </c>
      <c r="C85" s="228" t="str">
        <f t="shared" si="43"/>
        <v>Transport Freight - HCV9</v>
      </c>
      <c r="D85" s="227" t="s">
        <v>150</v>
      </c>
      <c r="F85" s="280">
        <f t="shared" si="45"/>
        <v>0.87558249537595634</v>
      </c>
      <c r="G85" s="280">
        <f t="shared" si="45"/>
        <v>0.92461962957245458</v>
      </c>
      <c r="H85" s="280">
        <f t="shared" si="45"/>
        <v>0.93718864870928531</v>
      </c>
      <c r="I85" s="280">
        <f t="shared" si="45"/>
        <v>0.95596367946339411</v>
      </c>
      <c r="J85" s="280">
        <f t="shared" si="45"/>
        <v>1.0933488144054302</v>
      </c>
      <c r="K85" s="280">
        <f t="shared" si="45"/>
        <v>1.2871195066360073</v>
      </c>
      <c r="L85" s="280">
        <f t="shared" si="45"/>
        <v>1.4969768319428864</v>
      </c>
      <c r="M85" s="8"/>
      <c r="N85" s="280">
        <f t="shared" si="46"/>
        <v>0.92461962957245458</v>
      </c>
      <c r="O85" s="280">
        <f t="shared" si="46"/>
        <v>0.95596367946339411</v>
      </c>
      <c r="P85" s="280">
        <f t="shared" si="46"/>
        <v>1.0933488144054302</v>
      </c>
      <c r="Q85" s="280">
        <f t="shared" si="46"/>
        <v>1.2871195066360073</v>
      </c>
      <c r="R85" s="280">
        <f t="shared" si="46"/>
        <v>1.4969768319428864</v>
      </c>
      <c r="S85" s="8"/>
      <c r="T85" s="280">
        <f t="shared" si="47"/>
        <v>0.92461962957245458</v>
      </c>
      <c r="U85" s="280">
        <f t="shared" si="47"/>
        <v>0.90816549549022441</v>
      </c>
      <c r="V85" s="280">
        <f t="shared" si="47"/>
        <v>0.98674730500090058</v>
      </c>
      <c r="W85" s="280">
        <f t="shared" si="47"/>
        <v>1.1035440870020468</v>
      </c>
      <c r="X85" s="280">
        <f t="shared" si="47"/>
        <v>1.2192969857226803</v>
      </c>
      <c r="Y85" s="228"/>
      <c r="Z85" s="228"/>
      <c r="AA85" s="228"/>
      <c r="AB85" s="228"/>
      <c r="AC85" s="228"/>
      <c r="AD85" s="228"/>
      <c r="AE85" s="228"/>
      <c r="AF85" s="228"/>
      <c r="AG85" s="228"/>
      <c r="AH85" s="228"/>
      <c r="AI85" s="228"/>
      <c r="AJ85" s="228"/>
      <c r="AK85" s="228"/>
      <c r="AL85" s="228"/>
      <c r="AM85" s="228"/>
      <c r="AN85" s="228"/>
      <c r="AO85" s="228"/>
      <c r="AP85" s="228"/>
      <c r="AQ85" s="228"/>
      <c r="AR85" s="228"/>
    </row>
    <row r="86" spans="1:44">
      <c r="A86" s="227" t="s">
        <v>17</v>
      </c>
      <c r="B86" s="228" t="str">
        <f t="shared" si="43"/>
        <v>TFRCO</v>
      </c>
      <c r="C86" s="228" t="str">
        <f t="shared" si="43"/>
        <v>Transport Freight - Rail Corridor</v>
      </c>
      <c r="D86" s="227" t="s">
        <v>150</v>
      </c>
      <c r="F86" s="280">
        <f t="shared" si="45"/>
        <v>22</v>
      </c>
      <c r="G86" s="280">
        <f t="shared" si="45"/>
        <v>23.232113430796417</v>
      </c>
      <c r="H86" s="280">
        <f t="shared" si="45"/>
        <v>23.547924245277745</v>
      </c>
      <c r="I86" s="280">
        <f t="shared" si="45"/>
        <v>24.019668117239277</v>
      </c>
      <c r="J86" s="280">
        <f t="shared" si="45"/>
        <v>27.471624939910804</v>
      </c>
      <c r="K86" s="280">
        <f t="shared" si="45"/>
        <v>32.340332630603356</v>
      </c>
      <c r="L86" s="280">
        <f t="shared" si="45"/>
        <v>37.613235162498945</v>
      </c>
      <c r="M86" s="8"/>
      <c r="N86" s="280">
        <f>N59</f>
        <v>23.232113430796417</v>
      </c>
      <c r="O86" s="280">
        <f>O59</f>
        <v>24.019668117239277</v>
      </c>
      <c r="P86" s="280">
        <f>P59</f>
        <v>27.471624939910804</v>
      </c>
      <c r="Q86" s="280">
        <f>Q59</f>
        <v>32.340332630603356</v>
      </c>
      <c r="R86" s="280">
        <f>R59</f>
        <v>37.613235162498945</v>
      </c>
      <c r="S86" s="8"/>
      <c r="T86" s="280">
        <f>T59</f>
        <v>23.232113430796417</v>
      </c>
      <c r="U86" s="280">
        <f>U59</f>
        <v>29.105259472761574</v>
      </c>
      <c r="V86" s="280">
        <f>V59</f>
        <v>38.813723522936776</v>
      </c>
      <c r="W86" s="280">
        <f>W59</f>
        <v>51.872237183732253</v>
      </c>
      <c r="X86" s="280">
        <f>X59</f>
        <v>67.157584092845767</v>
      </c>
      <c r="Y86" s="228"/>
      <c r="Z86" s="228"/>
      <c r="AA86" s="228"/>
      <c r="AB86" s="228"/>
      <c r="AC86" s="228"/>
      <c r="AD86" s="228"/>
      <c r="AE86" s="228"/>
      <c r="AF86" s="228"/>
      <c r="AG86" s="228"/>
      <c r="AH86" s="228"/>
      <c r="AI86" s="228"/>
      <c r="AJ86" s="228"/>
      <c r="AK86" s="228"/>
      <c r="AL86" s="228"/>
      <c r="AM86" s="228"/>
      <c r="AN86" s="228"/>
      <c r="AO86" s="228"/>
      <c r="AP86" s="228"/>
      <c r="AQ86" s="228"/>
      <c r="AR86" s="228"/>
    </row>
    <row r="87" spans="1:44">
      <c r="A87" s="227" t="s">
        <v>17</v>
      </c>
      <c r="B87" s="228" t="str">
        <f t="shared" si="43"/>
        <v>TFROT</v>
      </c>
      <c r="C87" s="228" t="str">
        <f t="shared" si="43"/>
        <v>Transport Freight - Rail Other</v>
      </c>
      <c r="D87" s="227" t="s">
        <v>150</v>
      </c>
      <c r="F87" s="280">
        <f t="shared" ref="F87:L87" si="49">F47</f>
        <v>25.099999999999998</v>
      </c>
      <c r="G87" s="280">
        <f t="shared" si="49"/>
        <v>26.505729414226828</v>
      </c>
      <c r="H87" s="280">
        <f t="shared" si="49"/>
        <v>26.866040843475982</v>
      </c>
      <c r="I87" s="280">
        <f t="shared" si="49"/>
        <v>27.404257715577543</v>
      </c>
      <c r="J87" s="280">
        <f t="shared" si="49"/>
        <v>31.342626635989149</v>
      </c>
      <c r="K87" s="280">
        <f t="shared" si="49"/>
        <v>36.897379501279289</v>
      </c>
      <c r="L87" s="280">
        <f t="shared" si="49"/>
        <v>42.913281935396533</v>
      </c>
      <c r="M87" s="8"/>
      <c r="N87" s="280">
        <f>N47</f>
        <v>26.505729414226828</v>
      </c>
      <c r="O87" s="280">
        <f>O47</f>
        <v>27.404257715577543</v>
      </c>
      <c r="P87" s="280">
        <f>P47</f>
        <v>31.342626635989149</v>
      </c>
      <c r="Q87" s="280">
        <f>Q47</f>
        <v>36.897379501279289</v>
      </c>
      <c r="R87" s="280">
        <f>R47</f>
        <v>42.913281935396533</v>
      </c>
      <c r="S87" s="8"/>
      <c r="T87" s="280">
        <f>T47</f>
        <v>26.505729414226828</v>
      </c>
      <c r="U87" s="280">
        <f>U47</f>
        <v>27.672439144775161</v>
      </c>
      <c r="V87" s="280">
        <f>V47</f>
        <v>31.940736078029403</v>
      </c>
      <c r="W87" s="280">
        <f>W47</f>
        <v>37.927366716496991</v>
      </c>
      <c r="X87" s="280">
        <f>X47</f>
        <v>44.47126116867684</v>
      </c>
      <c r="Y87" s="228"/>
      <c r="Z87" s="228"/>
      <c r="AA87" s="228"/>
      <c r="AB87" s="228"/>
      <c r="AC87" s="228"/>
      <c r="AD87" s="228"/>
      <c r="AE87" s="228"/>
      <c r="AF87" s="228"/>
      <c r="AG87" s="228"/>
      <c r="AH87" s="228"/>
      <c r="AI87" s="228"/>
      <c r="AJ87" s="228"/>
      <c r="AK87" s="228"/>
      <c r="AL87" s="228"/>
      <c r="AM87" s="228"/>
      <c r="AN87" s="228"/>
      <c r="AO87" s="228"/>
      <c r="AP87" s="228"/>
      <c r="AQ87" s="228"/>
      <c r="AR87" s="228"/>
    </row>
    <row r="88" spans="1:44">
      <c r="A88" s="227" t="s">
        <v>17</v>
      </c>
      <c r="B88" s="228" t="str">
        <f t="shared" si="43"/>
        <v>TFREX</v>
      </c>
      <c r="C88" s="228" t="str">
        <f t="shared" si="43"/>
        <v>Transport Freight - Rail Export (bulk mining)</v>
      </c>
      <c r="D88" s="227" t="s">
        <v>150</v>
      </c>
      <c r="F88" s="280">
        <f t="shared" ref="F88:J88" si="50">F104</f>
        <v>82</v>
      </c>
      <c r="G88" s="280">
        <f t="shared" si="50"/>
        <v>82</v>
      </c>
      <c r="H88" s="280">
        <f t="shared" si="50"/>
        <v>82</v>
      </c>
      <c r="I88" s="280">
        <f t="shared" si="50"/>
        <v>82.076415832295638</v>
      </c>
      <c r="J88" s="280">
        <f t="shared" si="50"/>
        <v>92.580858620368858</v>
      </c>
      <c r="K88" s="280">
        <f>K104</f>
        <v>109.01460140796371</v>
      </c>
      <c r="L88" s="280">
        <f>L104</f>
        <v>124.4670927917697</v>
      </c>
      <c r="M88" s="8"/>
      <c r="N88" s="280">
        <f>F104</f>
        <v>82</v>
      </c>
      <c r="O88" s="280">
        <f>I104</f>
        <v>82.076415832295638</v>
      </c>
      <c r="P88" s="280">
        <f>J104</f>
        <v>92.580858620368858</v>
      </c>
      <c r="Q88" s="280">
        <f>K104</f>
        <v>109.01460140796371</v>
      </c>
      <c r="R88" s="280">
        <f>L104</f>
        <v>124.4670927917697</v>
      </c>
      <c r="S88" s="8"/>
      <c r="T88" s="280">
        <f t="shared" ref="T88:W88" si="51">N88</f>
        <v>82</v>
      </c>
      <c r="U88" s="280">
        <f t="shared" si="51"/>
        <v>82.076415832295638</v>
      </c>
      <c r="V88" s="280">
        <f t="shared" si="51"/>
        <v>92.580858620368858</v>
      </c>
      <c r="W88" s="280">
        <f t="shared" si="51"/>
        <v>109.01460140796371</v>
      </c>
      <c r="X88" s="280">
        <f>R88</f>
        <v>124.4670927917697</v>
      </c>
      <c r="Y88" s="228"/>
      <c r="Z88" s="228"/>
      <c r="AA88" s="228"/>
      <c r="AB88" s="228"/>
      <c r="AC88" s="228"/>
      <c r="AD88" s="228"/>
      <c r="AE88" s="228"/>
      <c r="AF88" s="228"/>
      <c r="AG88" s="228"/>
      <c r="AH88" s="228"/>
      <c r="AI88" s="228"/>
      <c r="AJ88" s="228"/>
      <c r="AK88" s="228"/>
      <c r="AL88" s="228"/>
      <c r="AM88" s="228"/>
      <c r="AN88" s="228"/>
      <c r="AO88" s="228"/>
      <c r="AP88" s="228"/>
      <c r="AQ88" s="228"/>
      <c r="AR88" s="228"/>
    </row>
    <row r="89" spans="1:44">
      <c r="A89" s="227" t="s">
        <v>17</v>
      </c>
      <c r="C89" s="5" t="s">
        <v>212</v>
      </c>
      <c r="F89" s="87">
        <f t="shared" ref="F89:L89" si="52">SUM(F76:F88)</f>
        <v>244.32461547660341</v>
      </c>
      <c r="G89" s="87">
        <f>SUM(G76:G88)</f>
        <v>253.41563088013015</v>
      </c>
      <c r="H89" s="87">
        <f>SUM(H76:H88)</f>
        <v>255.74580674485901</v>
      </c>
      <c r="I89" s="87">
        <f>SUM(I76:I88)</f>
        <v>259.30293360531829</v>
      </c>
      <c r="J89" s="87">
        <f t="shared" si="52"/>
        <v>295.27726566075478</v>
      </c>
      <c r="K89" s="87">
        <f t="shared" si="52"/>
        <v>347.63424043742464</v>
      </c>
      <c r="L89" s="87">
        <f t="shared" si="52"/>
        <v>401.99227163648339</v>
      </c>
      <c r="M89" s="87"/>
      <c r="N89" s="87">
        <f>SUM(N76:N88)</f>
        <v>253.41563088013015</v>
      </c>
      <c r="O89" s="87">
        <f>SUM(O76:O88)</f>
        <v>259.30293360531829</v>
      </c>
      <c r="P89" s="87">
        <f>SUM(P76:P88)</f>
        <v>295.27726566075478</v>
      </c>
      <c r="Q89" s="87">
        <f>SUM(Q76:Q88)</f>
        <v>347.63424043742464</v>
      </c>
      <c r="R89" s="87">
        <f>SUM(R76:R88)</f>
        <v>401.99227163648339</v>
      </c>
      <c r="S89" s="87"/>
      <c r="T89" s="87">
        <f>SUM(T76:T88)</f>
        <v>253.41563088013015</v>
      </c>
      <c r="U89" s="87">
        <f>SUM(U76:U88)</f>
        <v>259.30293360531823</v>
      </c>
      <c r="V89" s="87">
        <f>SUM(V76:V88)</f>
        <v>295.27726566075478</v>
      </c>
      <c r="W89" s="87">
        <f>SUM(W76:W88)</f>
        <v>347.63424043742469</v>
      </c>
      <c r="X89" s="87">
        <f>SUM(X76:X88)</f>
        <v>401.99227163648345</v>
      </c>
    </row>
    <row r="90" spans="1:44">
      <c r="A90" s="227" t="s">
        <v>17</v>
      </c>
      <c r="L90" s="227">
        <f>L89/F89</f>
        <v>1.6453203900569662</v>
      </c>
      <c r="N90" s="5" t="s">
        <v>42</v>
      </c>
      <c r="T90" s="5" t="s">
        <v>198</v>
      </c>
    </row>
    <row r="91" spans="1:44" ht="15" thickBot="1">
      <c r="A91" s="227" t="s">
        <v>17</v>
      </c>
      <c r="B91" s="14" t="s">
        <v>210</v>
      </c>
      <c r="C91" s="14"/>
      <c r="D91" s="14"/>
      <c r="F91" s="227">
        <f t="shared" ref="F91:L91" si="53">F$4</f>
        <v>2012</v>
      </c>
      <c r="G91" s="227">
        <f t="shared" si="53"/>
        <v>2015</v>
      </c>
      <c r="H91" s="227">
        <f t="shared" si="53"/>
        <v>2017</v>
      </c>
      <c r="I91" s="227">
        <f t="shared" si="53"/>
        <v>2020</v>
      </c>
      <c r="J91" s="227">
        <f t="shared" si="53"/>
        <v>2030</v>
      </c>
      <c r="K91" s="227">
        <f t="shared" si="53"/>
        <v>2040</v>
      </c>
      <c r="L91" s="227">
        <f t="shared" si="53"/>
        <v>2050</v>
      </c>
      <c r="N91" s="7">
        <v>2012</v>
      </c>
      <c r="O91" s="7">
        <v>2020</v>
      </c>
      <c r="P91" s="7">
        <v>2030</v>
      </c>
      <c r="Q91" s="7">
        <v>2040</v>
      </c>
      <c r="R91" s="7">
        <v>2050</v>
      </c>
      <c r="T91" s="7">
        <f>N91</f>
        <v>2012</v>
      </c>
      <c r="U91" s="7">
        <f>O91</f>
        <v>2020</v>
      </c>
      <c r="V91" s="7">
        <f>P91</f>
        <v>2030</v>
      </c>
      <c r="W91" s="7">
        <f>Q91</f>
        <v>2040</v>
      </c>
      <c r="X91" s="7">
        <f>R91</f>
        <v>2050</v>
      </c>
    </row>
    <row r="92" spans="1:44">
      <c r="A92" s="227" t="s">
        <v>17</v>
      </c>
      <c r="B92" s="228" t="str">
        <f>'[3]TS BYDem'!D19</f>
        <v>TFLCV</v>
      </c>
      <c r="C92" s="228" t="str">
        <f>C13</f>
        <v>Transport Freight - LCV</v>
      </c>
      <c r="D92" s="227" t="s">
        <v>151</v>
      </c>
      <c r="F92" s="281">
        <v>43.112503750568798</v>
      </c>
      <c r="G92" s="282">
        <v>44.4</v>
      </c>
      <c r="H92" s="10">
        <v>45.342821165621402</v>
      </c>
      <c r="I92" s="10">
        <f>I43/I63</f>
        <v>47.070365081449829</v>
      </c>
      <c r="J92" s="10">
        <f>J43/J63</f>
        <v>53.835024238914734</v>
      </c>
      <c r="K92" s="10">
        <f>K43/K63</f>
        <v>63.376032355978644</v>
      </c>
      <c r="L92" s="10">
        <f>L43/L63</f>
        <v>73.709124637011939</v>
      </c>
      <c r="N92" s="10">
        <f>N43/N63</f>
        <v>45.52702624631138</v>
      </c>
      <c r="O92" s="10">
        <f>O43/O63</f>
        <v>47.070365081449829</v>
      </c>
      <c r="P92" s="10">
        <f>P43/P63</f>
        <v>53.835024238914734</v>
      </c>
      <c r="Q92" s="10">
        <f>Q43/Q63</f>
        <v>63.376032355978644</v>
      </c>
      <c r="R92" s="10">
        <f>R43/R63</f>
        <v>73.709124637011939</v>
      </c>
      <c r="T92" s="10">
        <f>T43/T63</f>
        <v>45.52702624631138</v>
      </c>
      <c r="U92" s="10">
        <f>U43/U63</f>
        <v>47.070365081449829</v>
      </c>
      <c r="V92" s="10">
        <f>V43/V63</f>
        <v>53.835024238914734</v>
      </c>
      <c r="W92" s="10">
        <f>W43/W63</f>
        <v>63.376032355978644</v>
      </c>
      <c r="X92" s="10">
        <f>X43/X63</f>
        <v>73.709124637011939</v>
      </c>
    </row>
    <row r="93" spans="1:44">
      <c r="A93" s="227" t="s">
        <v>17</v>
      </c>
      <c r="B93" s="228" t="str">
        <f>'[3]TS BYDem'!D20</f>
        <v>TFHCV1</v>
      </c>
      <c r="C93" s="228" t="str">
        <f t="shared" ref="C93:C99" si="54">C14</f>
        <v>Transport Freight - HCV1</v>
      </c>
      <c r="D93" s="227" t="s">
        <v>151</v>
      </c>
      <c r="F93" s="281">
        <v>3.31</v>
      </c>
      <c r="G93" s="10">
        <v>3.4</v>
      </c>
      <c r="H93" s="10">
        <v>3.45</v>
      </c>
      <c r="I93" s="10">
        <f>I46/I64</f>
        <v>3.6138682485482732</v>
      </c>
      <c r="J93" s="10">
        <f>J46/J64</f>
        <v>4.1332308432320355</v>
      </c>
      <c r="K93" s="10">
        <f>K46/K64</f>
        <v>4.8657500457862337</v>
      </c>
      <c r="L93" s="10">
        <f>L46/L64</f>
        <v>5.6590821994487071</v>
      </c>
      <c r="N93" s="10">
        <f>N46/N64</f>
        <v>3.4953770661789161</v>
      </c>
      <c r="O93" s="10">
        <f>O46/O64</f>
        <v>3.6138682485482732</v>
      </c>
      <c r="P93" s="10">
        <f>P46/P64</f>
        <v>4.1332308432320355</v>
      </c>
      <c r="Q93" s="10">
        <f>Q46/Q64</f>
        <v>4.8657500457862337</v>
      </c>
      <c r="R93" s="10">
        <f>R46/R64</f>
        <v>5.6590821994487071</v>
      </c>
      <c r="T93" s="10">
        <f>T46/T64</f>
        <v>3.4953770661789161</v>
      </c>
      <c r="U93" s="10">
        <f>U46/U64</f>
        <v>3.4331748361208598</v>
      </c>
      <c r="V93" s="10">
        <f>V46/V64</f>
        <v>3.730240836016911</v>
      </c>
      <c r="W93" s="10">
        <f>W46/W64</f>
        <v>4.1717724455059706</v>
      </c>
      <c r="X93" s="10">
        <f>X46/X64</f>
        <v>4.6093578207147159</v>
      </c>
    </row>
    <row r="94" spans="1:44">
      <c r="A94" s="227" t="s">
        <v>17</v>
      </c>
      <c r="B94" s="228" t="str">
        <f>'[3]TS BYDem'!D21</f>
        <v>TFHCV2</v>
      </c>
      <c r="C94" s="228" t="str">
        <f t="shared" si="54"/>
        <v>Transport Freight - HCV2</v>
      </c>
      <c r="D94" s="227" t="s">
        <v>151</v>
      </c>
      <c r="F94" s="281">
        <v>0.65478395407088008</v>
      </c>
      <c r="G94" s="10">
        <v>0.704124436203308</v>
      </c>
      <c r="H94" s="10">
        <v>0.73600943824652509</v>
      </c>
      <c r="I94" s="10">
        <f>I51/I65</f>
        <v>0.71489514842164503</v>
      </c>
      <c r="J94" s="10">
        <f>J51/J65</f>
        <v>0.81763541831395481</v>
      </c>
      <c r="K94" s="10">
        <f>K51/K65</f>
        <v>0.96254231253790812</v>
      </c>
      <c r="L94" s="10">
        <f>L51/L65</f>
        <v>1.1194792202317694</v>
      </c>
      <c r="N94" s="10">
        <f t="shared" ref="N94:R101" si="55">N51/N65</f>
        <v>0.6914552315290946</v>
      </c>
      <c r="O94" s="10">
        <f t="shared" si="55"/>
        <v>0.71489514842164503</v>
      </c>
      <c r="P94" s="10">
        <f t="shared" si="55"/>
        <v>0.81763541831395481</v>
      </c>
      <c r="Q94" s="10">
        <f t="shared" si="55"/>
        <v>0.96254231253790812</v>
      </c>
      <c r="R94" s="10">
        <f t="shared" si="55"/>
        <v>1.1194792202317694</v>
      </c>
      <c r="T94" s="10">
        <f t="shared" ref="T94:X101" si="56">T51/T65</f>
        <v>0.6914552315290946</v>
      </c>
      <c r="U94" s="10">
        <f t="shared" si="56"/>
        <v>0.67915039100056274</v>
      </c>
      <c r="V94" s="10">
        <f t="shared" si="56"/>
        <v>0.737915965028344</v>
      </c>
      <c r="W94" s="10">
        <f t="shared" si="56"/>
        <v>0.82525971521218877</v>
      </c>
      <c r="X94" s="10">
        <f t="shared" si="56"/>
        <v>0.9118228216239026</v>
      </c>
    </row>
    <row r="95" spans="1:44">
      <c r="A95" s="227" t="s">
        <v>17</v>
      </c>
      <c r="B95" s="228" t="str">
        <f>'[3]TS BYDem'!D22</f>
        <v>TFHCV3</v>
      </c>
      <c r="C95" s="228" t="str">
        <f t="shared" si="54"/>
        <v>Transport Freight - HCV3</v>
      </c>
      <c r="D95" s="227" t="s">
        <v>151</v>
      </c>
      <c r="F95" s="281">
        <v>2.7114063478211299</v>
      </c>
      <c r="G95" s="10">
        <v>2.9</v>
      </c>
      <c r="H95" s="10">
        <v>3.0305969254191498</v>
      </c>
      <c r="I95" s="10">
        <f t="shared" ref="I95:L101" si="57">I52/I66</f>
        <v>2.9603218457108817</v>
      </c>
      <c r="J95" s="10">
        <f t="shared" si="57"/>
        <v>3.3857608294107018</v>
      </c>
      <c r="K95" s="10">
        <f t="shared" si="57"/>
        <v>3.9858083266029447</v>
      </c>
      <c r="L95" s="10">
        <f t="shared" si="57"/>
        <v>4.6356711173494816</v>
      </c>
      <c r="N95" s="10">
        <f t="shared" si="55"/>
        <v>2.8632590831619069</v>
      </c>
      <c r="O95" s="10">
        <f t="shared" si="55"/>
        <v>2.9603218457108817</v>
      </c>
      <c r="P95" s="10">
        <f t="shared" si="55"/>
        <v>3.3857608294107018</v>
      </c>
      <c r="Q95" s="10">
        <f t="shared" si="55"/>
        <v>3.9858083266029447</v>
      </c>
      <c r="R95" s="10">
        <f t="shared" si="55"/>
        <v>4.6356711173494816</v>
      </c>
      <c r="T95" s="10">
        <f t="shared" si="56"/>
        <v>2.8632590831619069</v>
      </c>
      <c r="U95" s="10">
        <f t="shared" si="56"/>
        <v>2.812305753425338</v>
      </c>
      <c r="V95" s="10">
        <f t="shared" si="56"/>
        <v>3.0556491485431581</v>
      </c>
      <c r="W95" s="10">
        <f t="shared" si="56"/>
        <v>3.4173324140212</v>
      </c>
      <c r="X95" s="10">
        <f t="shared" si="56"/>
        <v>3.7757830980256366</v>
      </c>
    </row>
    <row r="96" spans="1:44">
      <c r="A96" s="227" t="s">
        <v>17</v>
      </c>
      <c r="B96" s="228" t="str">
        <f>'[3]TS BYDem'!D23</f>
        <v>TFHCV4</v>
      </c>
      <c r="C96" s="228" t="str">
        <f t="shared" si="54"/>
        <v>Transport Freight - HCV4</v>
      </c>
      <c r="D96" s="227" t="s">
        <v>151</v>
      </c>
      <c r="F96" s="281">
        <v>0.57023972229676601</v>
      </c>
      <c r="G96" s="228">
        <v>0.53653175775760331</v>
      </c>
      <c r="H96" s="228">
        <v>0.54380700000000004</v>
      </c>
      <c r="I96" s="10">
        <f t="shared" si="57"/>
        <v>0.6225894944015915</v>
      </c>
      <c r="J96" s="10">
        <f t="shared" si="57"/>
        <v>0.7120641716716205</v>
      </c>
      <c r="K96" s="10">
        <f t="shared" si="57"/>
        <v>0.83826101355728655</v>
      </c>
      <c r="L96" s="10">
        <f t="shared" si="57"/>
        <v>0.97493458062483451</v>
      </c>
      <c r="N96" s="10">
        <f t="shared" si="55"/>
        <v>0.6021760868701963</v>
      </c>
      <c r="O96" s="10">
        <f t="shared" si="55"/>
        <v>0.6225894944015915</v>
      </c>
      <c r="P96" s="10">
        <f t="shared" si="55"/>
        <v>0.7120641716716205</v>
      </c>
      <c r="Q96" s="10">
        <f t="shared" si="55"/>
        <v>0.83826101355728655</v>
      </c>
      <c r="R96" s="10">
        <f t="shared" si="55"/>
        <v>0.97493458062483451</v>
      </c>
      <c r="T96" s="10">
        <f t="shared" si="56"/>
        <v>0.6021760868701963</v>
      </c>
      <c r="U96" s="10">
        <f t="shared" si="56"/>
        <v>0.59146001968151196</v>
      </c>
      <c r="V96" s="10">
        <f t="shared" si="56"/>
        <v>0.64263791493363753</v>
      </c>
      <c r="W96" s="10">
        <f t="shared" si="56"/>
        <v>0.71870403649867853</v>
      </c>
      <c r="X96" s="10">
        <f t="shared" si="56"/>
        <v>0.79409030926005653</v>
      </c>
    </row>
    <row r="97" spans="1:78">
      <c r="A97" s="227" t="s">
        <v>17</v>
      </c>
      <c r="B97" s="228" t="str">
        <f>'[3]TS BYDem'!D24</f>
        <v>TFHCV5</v>
      </c>
      <c r="C97" s="228" t="str">
        <f t="shared" si="54"/>
        <v>Transport Freight - HCV5</v>
      </c>
      <c r="D97" s="227" t="s">
        <v>151</v>
      </c>
      <c r="F97" s="281">
        <v>0.27326501935541303</v>
      </c>
      <c r="G97" s="10">
        <v>0.28568357599999999</v>
      </c>
      <c r="H97" s="10">
        <v>0.289557377</v>
      </c>
      <c r="I97" s="10">
        <f t="shared" si="57"/>
        <v>0.29835159422581775</v>
      </c>
      <c r="J97" s="10">
        <f t="shared" si="57"/>
        <v>0.34122882367860796</v>
      </c>
      <c r="K97" s="10">
        <f t="shared" si="57"/>
        <v>0.40170371010283296</v>
      </c>
      <c r="L97" s="10">
        <f t="shared" si="57"/>
        <v>0.46719915612272633</v>
      </c>
      <c r="N97" s="10">
        <f t="shared" si="55"/>
        <v>0.28856926937880617</v>
      </c>
      <c r="O97" s="10">
        <f t="shared" si="55"/>
        <v>0.29835159422581775</v>
      </c>
      <c r="P97" s="10">
        <f t="shared" si="55"/>
        <v>0.34122882367860796</v>
      </c>
      <c r="Q97" s="10">
        <f t="shared" si="55"/>
        <v>0.40170371010283296</v>
      </c>
      <c r="R97" s="10">
        <f t="shared" si="55"/>
        <v>0.46719915612272633</v>
      </c>
      <c r="T97" s="10">
        <f t="shared" si="56"/>
        <v>0.28856926937880617</v>
      </c>
      <c r="U97" s="10">
        <f t="shared" si="56"/>
        <v>0.28343401451452682</v>
      </c>
      <c r="V97" s="10">
        <f t="shared" si="56"/>
        <v>0.30795901336994363</v>
      </c>
      <c r="W97" s="10">
        <f t="shared" si="56"/>
        <v>0.3444107184494164</v>
      </c>
      <c r="X97" s="10">
        <f t="shared" si="56"/>
        <v>0.3805366326566863</v>
      </c>
    </row>
    <row r="98" spans="1:78">
      <c r="A98" s="227" t="s">
        <v>17</v>
      </c>
      <c r="B98" s="228" t="str">
        <f>'[3]TS BYDem'!D25</f>
        <v>TFHCV6</v>
      </c>
      <c r="C98" s="228" t="str">
        <f t="shared" si="54"/>
        <v>Transport Freight - HCV6</v>
      </c>
      <c r="D98" s="227" t="s">
        <v>151</v>
      </c>
      <c r="F98" s="281">
        <v>5.0361375113209599</v>
      </c>
      <c r="G98" s="10">
        <v>6.01</v>
      </c>
      <c r="H98" s="10">
        <v>6.6407838452289196</v>
      </c>
      <c r="I98" s="10">
        <f>I55/I69</f>
        <v>5.4984705279413113</v>
      </c>
      <c r="J98" s="10">
        <f>J55/J69</f>
        <v>6.2886764025829658</v>
      </c>
      <c r="K98" s="10">
        <f t="shared" si="57"/>
        <v>7.4031982858899488</v>
      </c>
      <c r="L98" s="10">
        <f t="shared" si="57"/>
        <v>8.6102465692726149</v>
      </c>
      <c r="N98" s="10">
        <f t="shared" si="55"/>
        <v>5.3181871780044245</v>
      </c>
      <c r="O98" s="10">
        <f t="shared" si="55"/>
        <v>5.4984705279413113</v>
      </c>
      <c r="P98" s="10">
        <f t="shared" si="55"/>
        <v>6.2886764025829658</v>
      </c>
      <c r="Q98" s="10">
        <f t="shared" si="55"/>
        <v>7.4031982858899488</v>
      </c>
      <c r="R98" s="10">
        <f t="shared" si="55"/>
        <v>8.6102465692726149</v>
      </c>
      <c r="T98" s="10">
        <f t="shared" si="56"/>
        <v>5.3181871780044245</v>
      </c>
      <c r="U98" s="10">
        <f t="shared" si="56"/>
        <v>5.2235470015442456</v>
      </c>
      <c r="V98" s="10">
        <f t="shared" si="56"/>
        <v>5.6755304533311257</v>
      </c>
      <c r="W98" s="10">
        <f t="shared" si="56"/>
        <v>6.3473171303648934</v>
      </c>
      <c r="X98" s="10">
        <f t="shared" si="56"/>
        <v>7.0130996447135994</v>
      </c>
    </row>
    <row r="99" spans="1:78">
      <c r="A99" s="227" t="s">
        <v>17</v>
      </c>
      <c r="B99" s="228" t="str">
        <f>'[3]TS BYDem'!D26</f>
        <v>TFHCV7</v>
      </c>
      <c r="C99" s="228" t="str">
        <f t="shared" si="54"/>
        <v>Transport Freight - HCV7</v>
      </c>
      <c r="D99" s="227" t="s">
        <v>151</v>
      </c>
      <c r="F99" s="281">
        <v>1.5653068685251901</v>
      </c>
      <c r="G99" s="10">
        <v>1.7</v>
      </c>
      <c r="H99" s="10">
        <v>1.78</v>
      </c>
      <c r="I99" s="10">
        <f t="shared" si="57"/>
        <v>1.7090068856186442</v>
      </c>
      <c r="J99" s="10">
        <f t="shared" si="57"/>
        <v>1.9546146912722866</v>
      </c>
      <c r="K99" s="10">
        <f t="shared" si="57"/>
        <v>2.3010247635033085</v>
      </c>
      <c r="L99" s="10">
        <f t="shared" si="57"/>
        <v>2.6761934248778552</v>
      </c>
      <c r="N99" s="10">
        <f t="shared" si="55"/>
        <v>1.6529721237991799</v>
      </c>
      <c r="O99" s="10">
        <f t="shared" si="55"/>
        <v>1.7090068856186442</v>
      </c>
      <c r="P99" s="10">
        <f t="shared" si="55"/>
        <v>1.9546146912722866</v>
      </c>
      <c r="Q99" s="10">
        <f t="shared" si="55"/>
        <v>2.3010247635033085</v>
      </c>
      <c r="R99" s="10">
        <f t="shared" si="55"/>
        <v>2.6761934248778552</v>
      </c>
      <c r="T99" s="10">
        <f t="shared" si="56"/>
        <v>1.6529721237991799</v>
      </c>
      <c r="U99" s="10">
        <f t="shared" si="56"/>
        <v>1.6235565413377118</v>
      </c>
      <c r="V99" s="10">
        <f t="shared" si="56"/>
        <v>1.7640397588732384</v>
      </c>
      <c r="W99" s="10">
        <f t="shared" si="56"/>
        <v>1.9728411066086482</v>
      </c>
      <c r="X99" s="10">
        <f t="shared" si="56"/>
        <v>2.1797762707719177</v>
      </c>
    </row>
    <row r="100" spans="1:78">
      <c r="A100" s="227" t="s">
        <v>17</v>
      </c>
      <c r="B100" s="228" t="str">
        <f>'[3]TS BYDem'!D27</f>
        <v>TFHCV8</v>
      </c>
      <c r="C100" s="228" t="str">
        <f>C21</f>
        <v>Transport Freight - HCV8</v>
      </c>
      <c r="D100" s="227" t="s">
        <v>151</v>
      </c>
      <c r="F100" s="281">
        <v>5.8486156921973897E-2</v>
      </c>
      <c r="G100" s="10">
        <v>7.9893942605822804E-2</v>
      </c>
      <c r="H100" s="10">
        <v>0.102046183451296</v>
      </c>
      <c r="I100" s="10">
        <f>I57/I71</f>
        <v>6.3855367214481359E-2</v>
      </c>
      <c r="J100" s="10">
        <f>J57/J71</f>
        <v>7.3032262142601598E-2</v>
      </c>
      <c r="K100" s="10">
        <f>K57/K71</f>
        <v>8.5975534961013692E-2</v>
      </c>
      <c r="L100" s="10">
        <f>L57/L71</f>
        <v>9.9993344275319085E-2</v>
      </c>
      <c r="N100" s="10">
        <f t="shared" si="55"/>
        <v>6.1761683261029855E-2</v>
      </c>
      <c r="O100" s="10">
        <f t="shared" si="55"/>
        <v>6.3855367214481359E-2</v>
      </c>
      <c r="P100" s="10">
        <f t="shared" si="55"/>
        <v>7.3032262142601598E-2</v>
      </c>
      <c r="Q100" s="10">
        <f t="shared" si="55"/>
        <v>8.5975534961013692E-2</v>
      </c>
      <c r="R100" s="10">
        <f t="shared" si="55"/>
        <v>9.9993344275319085E-2</v>
      </c>
      <c r="T100" s="10">
        <f t="shared" si="56"/>
        <v>6.1761683261029855E-2</v>
      </c>
      <c r="U100" s="10">
        <f t="shared" si="56"/>
        <v>6.0662598853757285E-2</v>
      </c>
      <c r="V100" s="10">
        <f t="shared" si="56"/>
        <v>6.5911616583697957E-2</v>
      </c>
      <c r="W100" s="10">
        <f t="shared" si="56"/>
        <v>7.3713274287199093E-2</v>
      </c>
      <c r="X100" s="10">
        <f t="shared" si="56"/>
        <v>8.1445203870649116E-2</v>
      </c>
    </row>
    <row r="101" spans="1:78">
      <c r="A101" s="227" t="s">
        <v>17</v>
      </c>
      <c r="B101" s="228" t="str">
        <f>'[3]TS BYDem'!D28</f>
        <v>TFHCV9</v>
      </c>
      <c r="C101" s="228" t="str">
        <f>C22</f>
        <v>Transport Freight - HCV9</v>
      </c>
      <c r="D101" s="227" t="s">
        <v>151</v>
      </c>
      <c r="F101" s="281">
        <v>3.9969372950314899E-2</v>
      </c>
      <c r="G101" s="24">
        <v>2.2368931977559604E-2</v>
      </c>
      <c r="H101" s="228">
        <v>2.2670999999999997E-2</v>
      </c>
      <c r="I101" s="228">
        <f t="shared" si="57"/>
        <v>4.3638685141851138E-2</v>
      </c>
      <c r="J101" s="228">
        <f t="shared" si="57"/>
        <v>4.9910164671566698E-2</v>
      </c>
      <c r="K101" s="10">
        <f t="shared" si="57"/>
        <v>5.8755582556810203E-2</v>
      </c>
      <c r="L101" s="10">
        <f t="shared" si="57"/>
        <v>6.8335337458082679E-2</v>
      </c>
      <c r="N101" s="10">
        <f t="shared" si="55"/>
        <v>4.2207863915432818E-2</v>
      </c>
      <c r="O101" s="10">
        <f t="shared" si="55"/>
        <v>4.3638685141851138E-2</v>
      </c>
      <c r="P101" s="10">
        <f t="shared" si="55"/>
        <v>4.9910164671566698E-2</v>
      </c>
      <c r="Q101" s="10">
        <f t="shared" si="55"/>
        <v>5.8755582556810203E-2</v>
      </c>
      <c r="R101" s="10">
        <f t="shared" si="55"/>
        <v>6.8335337458082679E-2</v>
      </c>
      <c r="T101" s="10">
        <f t="shared" si="56"/>
        <v>4.2207863915432818E-2</v>
      </c>
      <c r="U101" s="10">
        <f t="shared" si="56"/>
        <v>4.1456750884758579E-2</v>
      </c>
      <c r="V101" s="10">
        <f t="shared" si="56"/>
        <v>4.5043923616088936E-2</v>
      </c>
      <c r="W101" s="10">
        <f t="shared" si="56"/>
        <v>5.0375567594645149E-2</v>
      </c>
      <c r="X101" s="10">
        <f t="shared" si="56"/>
        <v>5.5659559455467446E-2</v>
      </c>
    </row>
    <row r="102" spans="1:78">
      <c r="A102" s="227" t="s">
        <v>17</v>
      </c>
      <c r="B102" s="228" t="str">
        <f>'[3]TS BYDem'!D29</f>
        <v>TFRCO</v>
      </c>
      <c r="C102" s="228" t="str">
        <f>C23</f>
        <v>Transport Freight - Rail Corridor</v>
      </c>
      <c r="D102" s="227" t="s">
        <v>150</v>
      </c>
      <c r="F102" s="281">
        <f>'[3]TS BYDem'!J29</f>
        <v>22</v>
      </c>
      <c r="G102" s="10">
        <f t="shared" ref="G102:L102" si="58">G59</f>
        <v>23.232113430796417</v>
      </c>
      <c r="H102" s="10">
        <f t="shared" si="58"/>
        <v>23.547924245277745</v>
      </c>
      <c r="I102" s="10">
        <f t="shared" si="58"/>
        <v>24.019668117239277</v>
      </c>
      <c r="J102" s="10">
        <f t="shared" si="58"/>
        <v>27.471624939910804</v>
      </c>
      <c r="K102" s="10">
        <f t="shared" si="58"/>
        <v>32.340332630603356</v>
      </c>
      <c r="L102" s="10">
        <f t="shared" si="58"/>
        <v>37.613235162498945</v>
      </c>
      <c r="N102" s="10"/>
    </row>
    <row r="103" spans="1:78">
      <c r="A103" s="227" t="s">
        <v>17</v>
      </c>
      <c r="B103" s="228" t="str">
        <f>'[3]TS BYDem'!D30</f>
        <v>TFROT</v>
      </c>
      <c r="C103" s="228" t="str">
        <f>C24</f>
        <v>Transport Freight - Rail Other</v>
      </c>
      <c r="D103" s="227" t="s">
        <v>150</v>
      </c>
      <c r="F103" s="281">
        <f>'[3]TS BYDem'!J30</f>
        <v>25.099999999999998</v>
      </c>
      <c r="G103" s="10">
        <f t="shared" ref="G103:L103" si="59">G47</f>
        <v>26.505729414226828</v>
      </c>
      <c r="H103" s="10">
        <f t="shared" si="59"/>
        <v>26.866040843475982</v>
      </c>
      <c r="I103" s="10">
        <f t="shared" si="59"/>
        <v>27.404257715577543</v>
      </c>
      <c r="J103" s="10">
        <f t="shared" si="59"/>
        <v>31.342626635989149</v>
      </c>
      <c r="K103" s="10">
        <f t="shared" si="59"/>
        <v>36.897379501279289</v>
      </c>
      <c r="L103" s="10">
        <f t="shared" si="59"/>
        <v>42.913281935396533</v>
      </c>
      <c r="N103" s="10"/>
    </row>
    <row r="104" spans="1:78">
      <c r="A104" s="227" t="s">
        <v>17</v>
      </c>
      <c r="B104" s="228" t="str">
        <f>'[3]TS BYDem'!D31</f>
        <v>TFREX</v>
      </c>
      <c r="C104" s="228" t="str">
        <f>C25</f>
        <v>Transport Freight - Rail Export (bulk mining)</v>
      </c>
      <c r="D104" s="227" t="s">
        <v>150</v>
      </c>
      <c r="F104" s="281">
        <f>'[3]TS BYDem'!J31</f>
        <v>82</v>
      </c>
      <c r="G104" s="10">
        <f>F104</f>
        <v>82</v>
      </c>
      <c r="H104" s="10">
        <f>G104</f>
        <v>82</v>
      </c>
      <c r="I104" s="10">
        <f>G104*(1+(G25+I25)/2*((I8/G8)^(1/(I$4-G$4))-1))^(I$4-G$4)</f>
        <v>82.076415832295638</v>
      </c>
      <c r="J104" s="10">
        <f>I104*(1+(I25+J25)/2*((J8/I8)^(1/(J$4-I$4))-1))^(J$4-I$4)</f>
        <v>92.580858620368858</v>
      </c>
      <c r="K104" s="10">
        <f>J104*(1+(J25+K25)/2*((K8/J8)^(1/(K$4-J$4))-1))^(K$4-J$4)</f>
        <v>109.01460140796371</v>
      </c>
      <c r="L104" s="10">
        <f>K104*(1+(K25+L25)/2*((L8/K8)^(1/(L$4-K$4))-1))^(L$4-K$4)</f>
        <v>124.4670927917697</v>
      </c>
      <c r="N104" s="10"/>
    </row>
    <row r="105" spans="1:78">
      <c r="B105" s="228"/>
      <c r="C105" s="228"/>
      <c r="F105" s="281"/>
      <c r="G105" s="10"/>
      <c r="H105" s="10"/>
      <c r="I105" s="10"/>
      <c r="J105" s="10"/>
      <c r="K105" s="10"/>
      <c r="L105" s="10"/>
      <c r="N105" s="10"/>
    </row>
    <row r="106" spans="1:78" ht="21.6">
      <c r="A106" s="137" t="s">
        <v>17</v>
      </c>
      <c r="B106" s="141" t="s">
        <v>19</v>
      </c>
      <c r="C106" s="141" t="s">
        <v>20</v>
      </c>
      <c r="D106" s="141" t="s">
        <v>21</v>
      </c>
      <c r="E106" s="141" t="s">
        <v>22</v>
      </c>
      <c r="F106" s="141" t="s">
        <v>23</v>
      </c>
      <c r="G106" s="141" t="s">
        <v>24</v>
      </c>
      <c r="H106" s="141" t="s">
        <v>25</v>
      </c>
      <c r="I106" s="142" t="s">
        <v>26</v>
      </c>
      <c r="K106" s="227">
        <v>2012</v>
      </c>
      <c r="L106" s="227">
        <f>1+K106</f>
        <v>2013</v>
      </c>
      <c r="M106" s="227">
        <f t="shared" ref="M106:AW106" si="60">1+L106</f>
        <v>2014</v>
      </c>
      <c r="N106" s="227">
        <f t="shared" si="60"/>
        <v>2015</v>
      </c>
      <c r="O106" s="227">
        <f t="shared" si="60"/>
        <v>2016</v>
      </c>
      <c r="P106" s="227">
        <f t="shared" si="60"/>
        <v>2017</v>
      </c>
      <c r="Q106" s="227">
        <f t="shared" si="60"/>
        <v>2018</v>
      </c>
      <c r="R106" s="227">
        <f t="shared" si="60"/>
        <v>2019</v>
      </c>
      <c r="S106" s="227">
        <f t="shared" si="60"/>
        <v>2020</v>
      </c>
      <c r="T106" s="227">
        <f t="shared" si="60"/>
        <v>2021</v>
      </c>
      <c r="U106" s="227">
        <f t="shared" si="60"/>
        <v>2022</v>
      </c>
      <c r="V106" s="227">
        <f t="shared" si="60"/>
        <v>2023</v>
      </c>
      <c r="W106" s="227">
        <f t="shared" si="60"/>
        <v>2024</v>
      </c>
      <c r="X106" s="227">
        <f t="shared" si="60"/>
        <v>2025</v>
      </c>
      <c r="Y106" s="227">
        <f t="shared" si="60"/>
        <v>2026</v>
      </c>
      <c r="Z106" s="227">
        <f t="shared" si="60"/>
        <v>2027</v>
      </c>
      <c r="AA106" s="227">
        <f t="shared" si="60"/>
        <v>2028</v>
      </c>
      <c r="AB106" s="227">
        <f t="shared" si="60"/>
        <v>2029</v>
      </c>
      <c r="AC106" s="227">
        <f t="shared" si="60"/>
        <v>2030</v>
      </c>
      <c r="AD106" s="227">
        <f t="shared" si="60"/>
        <v>2031</v>
      </c>
      <c r="AE106" s="227">
        <f t="shared" si="60"/>
        <v>2032</v>
      </c>
      <c r="AF106" s="227">
        <f t="shared" si="60"/>
        <v>2033</v>
      </c>
      <c r="AG106" s="227">
        <f t="shared" si="60"/>
        <v>2034</v>
      </c>
      <c r="AH106" s="227">
        <f t="shared" si="60"/>
        <v>2035</v>
      </c>
      <c r="AI106" s="227">
        <f t="shared" si="60"/>
        <v>2036</v>
      </c>
      <c r="AJ106" s="227">
        <f t="shared" si="60"/>
        <v>2037</v>
      </c>
      <c r="AK106" s="227">
        <f t="shared" si="60"/>
        <v>2038</v>
      </c>
      <c r="AL106" s="227">
        <f t="shared" si="60"/>
        <v>2039</v>
      </c>
      <c r="AM106" s="227">
        <f t="shared" si="60"/>
        <v>2040</v>
      </c>
      <c r="AN106" s="227">
        <f t="shared" si="60"/>
        <v>2041</v>
      </c>
      <c r="AO106" s="227">
        <f t="shared" si="60"/>
        <v>2042</v>
      </c>
      <c r="AP106" s="227">
        <f t="shared" si="60"/>
        <v>2043</v>
      </c>
      <c r="AQ106" s="227">
        <f t="shared" si="60"/>
        <v>2044</v>
      </c>
      <c r="AR106" s="227">
        <f t="shared" si="60"/>
        <v>2045</v>
      </c>
      <c r="AS106" s="227">
        <f t="shared" si="60"/>
        <v>2046</v>
      </c>
      <c r="AT106" s="227">
        <f t="shared" si="60"/>
        <v>2047</v>
      </c>
      <c r="AU106" s="227">
        <f t="shared" si="60"/>
        <v>2048</v>
      </c>
      <c r="AV106" s="227">
        <f t="shared" si="60"/>
        <v>2049</v>
      </c>
      <c r="AW106" s="227">
        <f t="shared" si="60"/>
        <v>2050</v>
      </c>
      <c r="AX106" s="227">
        <v>2060</v>
      </c>
      <c r="AY106" s="227">
        <v>2070</v>
      </c>
    </row>
    <row r="107" spans="1:78" s="233" customFormat="1">
      <c r="A107" s="137" t="s">
        <v>17</v>
      </c>
      <c r="B107" s="233" t="s">
        <v>404</v>
      </c>
      <c r="C107" s="233">
        <v>1</v>
      </c>
      <c r="D107" s="233">
        <v>2012</v>
      </c>
      <c r="E107" s="233">
        <v>2015</v>
      </c>
      <c r="F107" s="233">
        <v>2020</v>
      </c>
      <c r="G107" s="233">
        <v>2030</v>
      </c>
      <c r="H107" s="233">
        <v>2040</v>
      </c>
      <c r="I107" s="283">
        <v>2050</v>
      </c>
      <c r="K107" s="233">
        <f t="shared" ref="K107:Z108" si="61">MATCH(K$106,$D$107:$I$107,$C107)</f>
        <v>1</v>
      </c>
      <c r="L107" s="233">
        <f t="shared" si="61"/>
        <v>1</v>
      </c>
      <c r="M107" s="233">
        <f t="shared" si="61"/>
        <v>1</v>
      </c>
      <c r="N107" s="233">
        <f t="shared" si="61"/>
        <v>2</v>
      </c>
      <c r="O107" s="233">
        <f t="shared" si="61"/>
        <v>2</v>
      </c>
      <c r="P107" s="233">
        <f t="shared" si="61"/>
        <v>2</v>
      </c>
      <c r="Q107" s="233">
        <f t="shared" si="61"/>
        <v>2</v>
      </c>
      <c r="R107" s="233">
        <f t="shared" si="61"/>
        <v>2</v>
      </c>
      <c r="S107" s="233">
        <f t="shared" si="61"/>
        <v>3</v>
      </c>
      <c r="T107" s="233">
        <f t="shared" si="61"/>
        <v>3</v>
      </c>
      <c r="U107" s="233">
        <f t="shared" si="61"/>
        <v>3</v>
      </c>
      <c r="V107" s="233">
        <f t="shared" si="61"/>
        <v>3</v>
      </c>
      <c r="W107" s="233">
        <f t="shared" si="61"/>
        <v>3</v>
      </c>
      <c r="X107" s="233">
        <f t="shared" si="61"/>
        <v>3</v>
      </c>
      <c r="Y107" s="233">
        <f t="shared" si="61"/>
        <v>3</v>
      </c>
      <c r="Z107" s="233">
        <f t="shared" si="61"/>
        <v>3</v>
      </c>
      <c r="AA107" s="233">
        <f t="shared" ref="AA107:AP108" si="62">MATCH(AA$106,$D$107:$I$107,$C107)</f>
        <v>3</v>
      </c>
      <c r="AB107" s="233">
        <f t="shared" si="62"/>
        <v>3</v>
      </c>
      <c r="AC107" s="233">
        <f t="shared" si="62"/>
        <v>4</v>
      </c>
      <c r="AD107" s="233">
        <f t="shared" si="62"/>
        <v>4</v>
      </c>
      <c r="AE107" s="233">
        <f t="shared" si="62"/>
        <v>4</v>
      </c>
      <c r="AF107" s="233">
        <f t="shared" si="62"/>
        <v>4</v>
      </c>
      <c r="AG107" s="233">
        <f t="shared" si="62"/>
        <v>4</v>
      </c>
      <c r="AH107" s="233">
        <f t="shared" si="62"/>
        <v>4</v>
      </c>
      <c r="AI107" s="233">
        <f t="shared" si="62"/>
        <v>4</v>
      </c>
      <c r="AJ107" s="233">
        <f t="shared" si="62"/>
        <v>4</v>
      </c>
      <c r="AK107" s="233">
        <f t="shared" si="62"/>
        <v>4</v>
      </c>
      <c r="AL107" s="233">
        <f t="shared" si="62"/>
        <v>4</v>
      </c>
      <c r="AM107" s="233">
        <f t="shared" si="62"/>
        <v>5</v>
      </c>
      <c r="AN107" s="233">
        <f t="shared" si="62"/>
        <v>5</v>
      </c>
      <c r="AO107" s="233">
        <f t="shared" si="62"/>
        <v>5</v>
      </c>
      <c r="AP107" s="233">
        <f t="shared" si="62"/>
        <v>5</v>
      </c>
      <c r="AQ107" s="233">
        <f t="shared" ref="AO107:AY108" si="63">MATCH(AQ$106,$D$107:$I$107,$C107)</f>
        <v>5</v>
      </c>
      <c r="AR107" s="233">
        <f t="shared" si="63"/>
        <v>5</v>
      </c>
      <c r="AS107" s="233">
        <f t="shared" si="63"/>
        <v>5</v>
      </c>
      <c r="AT107" s="233">
        <f t="shared" si="63"/>
        <v>5</v>
      </c>
      <c r="AU107" s="233">
        <f t="shared" si="63"/>
        <v>5</v>
      </c>
      <c r="AV107" s="233">
        <f t="shared" si="63"/>
        <v>5</v>
      </c>
      <c r="AW107" s="233">
        <f t="shared" si="63"/>
        <v>6</v>
      </c>
      <c r="AX107" s="233">
        <f t="shared" si="63"/>
        <v>6</v>
      </c>
      <c r="AY107" s="233">
        <f t="shared" si="63"/>
        <v>6</v>
      </c>
      <c r="AZ107" s="227"/>
      <c r="BA107" s="227"/>
      <c r="BB107" s="227"/>
      <c r="BC107" s="227"/>
      <c r="BD107" s="227"/>
      <c r="BE107" s="227"/>
      <c r="BF107" s="227"/>
      <c r="BG107" s="227"/>
      <c r="BH107" s="227"/>
      <c r="BI107" s="227"/>
      <c r="BJ107" s="227"/>
      <c r="BK107" s="227"/>
      <c r="BL107" s="227"/>
      <c r="BM107" s="227"/>
      <c r="BN107" s="227"/>
      <c r="BO107" s="227"/>
      <c r="BP107" s="227"/>
      <c r="BQ107" s="227"/>
      <c r="BR107" s="227"/>
      <c r="BS107" s="227"/>
      <c r="BT107" s="227"/>
      <c r="BU107" s="227"/>
      <c r="BV107" s="227"/>
      <c r="BW107" s="227"/>
      <c r="BX107" s="227"/>
      <c r="BY107" s="227"/>
      <c r="BZ107" s="227"/>
    </row>
    <row r="108" spans="1:78">
      <c r="A108" s="41" t="s">
        <v>17</v>
      </c>
      <c r="B108" s="227" t="s">
        <v>405</v>
      </c>
      <c r="C108" s="227">
        <v>0</v>
      </c>
      <c r="D108" s="227">
        <f>INDEX($D107:$I107,0,COUNT($D107:$I107)-D109)</f>
        <v>2050</v>
      </c>
      <c r="E108" s="227">
        <f>INDEX($D107:$I107,0,COUNT($D107:$I107)-E109)</f>
        <v>2040</v>
      </c>
      <c r="F108" s="227">
        <f>INDEX($D107:$I107,0,COUNT($D107:$I107)-F109)</f>
        <v>2030</v>
      </c>
      <c r="G108" s="227">
        <f>INDEX($D107:$I107,0,COUNT($D107:$I107)-G109)</f>
        <v>2020</v>
      </c>
      <c r="H108" s="227">
        <f>INDEX($D107:$I107,0,COUNT($D107:$I107)-H109)</f>
        <v>2015</v>
      </c>
      <c r="I108" s="144">
        <v>2012</v>
      </c>
      <c r="K108" s="41">
        <f t="shared" si="61"/>
        <v>1</v>
      </c>
      <c r="L108" s="41" t="e">
        <f t="shared" si="61"/>
        <v>#N/A</v>
      </c>
      <c r="M108" s="41" t="e">
        <f t="shared" si="61"/>
        <v>#N/A</v>
      </c>
      <c r="N108" s="41">
        <f t="shared" si="61"/>
        <v>2</v>
      </c>
      <c r="O108" s="41" t="e">
        <f t="shared" si="61"/>
        <v>#N/A</v>
      </c>
      <c r="P108" s="41" t="e">
        <f t="shared" si="61"/>
        <v>#N/A</v>
      </c>
      <c r="Q108" s="41" t="e">
        <f t="shared" si="61"/>
        <v>#N/A</v>
      </c>
      <c r="R108" s="41" t="e">
        <f t="shared" si="61"/>
        <v>#N/A</v>
      </c>
      <c r="S108" s="41">
        <f t="shared" si="61"/>
        <v>3</v>
      </c>
      <c r="T108" s="41" t="e">
        <f t="shared" si="61"/>
        <v>#N/A</v>
      </c>
      <c r="U108" s="41" t="e">
        <f t="shared" si="61"/>
        <v>#N/A</v>
      </c>
      <c r="V108" s="41" t="e">
        <f t="shared" si="61"/>
        <v>#N/A</v>
      </c>
      <c r="W108" s="41" t="e">
        <f t="shared" si="61"/>
        <v>#N/A</v>
      </c>
      <c r="X108" s="41" t="e">
        <f t="shared" si="61"/>
        <v>#N/A</v>
      </c>
      <c r="Y108" s="41" t="e">
        <f t="shared" si="61"/>
        <v>#N/A</v>
      </c>
      <c r="Z108" s="41" t="e">
        <f t="shared" si="61"/>
        <v>#N/A</v>
      </c>
      <c r="AA108" s="41" t="e">
        <f t="shared" si="62"/>
        <v>#N/A</v>
      </c>
      <c r="AB108" s="41" t="e">
        <f t="shared" si="62"/>
        <v>#N/A</v>
      </c>
      <c r="AC108" s="41">
        <f t="shared" si="62"/>
        <v>4</v>
      </c>
      <c r="AD108" s="41" t="e">
        <f t="shared" si="62"/>
        <v>#N/A</v>
      </c>
      <c r="AE108" s="41" t="e">
        <f t="shared" si="62"/>
        <v>#N/A</v>
      </c>
      <c r="AF108" s="41" t="e">
        <f t="shared" si="62"/>
        <v>#N/A</v>
      </c>
      <c r="AG108" s="41" t="e">
        <f t="shared" si="62"/>
        <v>#N/A</v>
      </c>
      <c r="AH108" s="41" t="e">
        <f t="shared" si="62"/>
        <v>#N/A</v>
      </c>
      <c r="AI108" s="41" t="e">
        <f t="shared" si="62"/>
        <v>#N/A</v>
      </c>
      <c r="AJ108" s="41" t="e">
        <f t="shared" si="62"/>
        <v>#N/A</v>
      </c>
      <c r="AK108" s="41" t="e">
        <f t="shared" si="62"/>
        <v>#N/A</v>
      </c>
      <c r="AL108" s="41" t="e">
        <f t="shared" si="62"/>
        <v>#N/A</v>
      </c>
      <c r="AM108" s="41">
        <f t="shared" si="62"/>
        <v>5</v>
      </c>
      <c r="AN108" s="41" t="e">
        <f t="shared" si="62"/>
        <v>#N/A</v>
      </c>
      <c r="AO108" s="41" t="e">
        <f t="shared" si="63"/>
        <v>#N/A</v>
      </c>
      <c r="AP108" s="41" t="e">
        <f t="shared" si="63"/>
        <v>#N/A</v>
      </c>
      <c r="AQ108" s="41" t="e">
        <f t="shared" si="63"/>
        <v>#N/A</v>
      </c>
      <c r="AR108" s="41" t="e">
        <f t="shared" si="63"/>
        <v>#N/A</v>
      </c>
      <c r="AS108" s="41" t="e">
        <f t="shared" si="63"/>
        <v>#N/A</v>
      </c>
      <c r="AT108" s="41" t="e">
        <f t="shared" si="63"/>
        <v>#N/A</v>
      </c>
      <c r="AU108" s="41" t="e">
        <f t="shared" si="63"/>
        <v>#N/A</v>
      </c>
      <c r="AV108" s="41" t="e">
        <f t="shared" si="63"/>
        <v>#N/A</v>
      </c>
      <c r="AW108" s="41">
        <f t="shared" si="63"/>
        <v>6</v>
      </c>
      <c r="AX108" s="41" t="e">
        <f t="shared" si="63"/>
        <v>#N/A</v>
      </c>
      <c r="AY108" s="41" t="e">
        <f t="shared" si="63"/>
        <v>#N/A</v>
      </c>
    </row>
    <row r="109" spans="1:78">
      <c r="A109" s="41" t="s">
        <v>17</v>
      </c>
      <c r="B109" s="227" t="s">
        <v>403</v>
      </c>
      <c r="C109" s="227">
        <v>-1</v>
      </c>
      <c r="D109" s="227">
        <v>0</v>
      </c>
      <c r="E109" s="227">
        <v>1</v>
      </c>
      <c r="F109" s="227">
        <v>2</v>
      </c>
      <c r="G109" s="227">
        <v>3</v>
      </c>
      <c r="H109" s="227">
        <v>4</v>
      </c>
      <c r="I109" s="227">
        <v>5</v>
      </c>
      <c r="K109" s="41">
        <f t="shared" ref="K109:AY109" si="64">MATCH(K$106,$D$108:$I$108,$C109)</f>
        <v>6</v>
      </c>
      <c r="L109" s="41">
        <f t="shared" si="64"/>
        <v>5</v>
      </c>
      <c r="M109" s="41">
        <f t="shared" si="64"/>
        <v>5</v>
      </c>
      <c r="N109" s="41">
        <f t="shared" si="64"/>
        <v>5</v>
      </c>
      <c r="O109" s="41">
        <f t="shared" si="64"/>
        <v>4</v>
      </c>
      <c r="P109" s="41">
        <f t="shared" si="64"/>
        <v>4</v>
      </c>
      <c r="Q109" s="41">
        <f t="shared" si="64"/>
        <v>4</v>
      </c>
      <c r="R109" s="41">
        <f t="shared" si="64"/>
        <v>4</v>
      </c>
      <c r="S109" s="41">
        <f t="shared" si="64"/>
        <v>4</v>
      </c>
      <c r="T109" s="41">
        <f t="shared" si="64"/>
        <v>3</v>
      </c>
      <c r="U109" s="41">
        <f t="shared" si="64"/>
        <v>3</v>
      </c>
      <c r="V109" s="41">
        <f t="shared" si="64"/>
        <v>3</v>
      </c>
      <c r="W109" s="41">
        <f t="shared" si="64"/>
        <v>3</v>
      </c>
      <c r="X109" s="41">
        <f t="shared" si="64"/>
        <v>3</v>
      </c>
      <c r="Y109" s="41">
        <f t="shared" si="64"/>
        <v>3</v>
      </c>
      <c r="Z109" s="41">
        <f t="shared" si="64"/>
        <v>3</v>
      </c>
      <c r="AA109" s="41">
        <f t="shared" si="64"/>
        <v>3</v>
      </c>
      <c r="AB109" s="41">
        <f t="shared" si="64"/>
        <v>3</v>
      </c>
      <c r="AC109" s="41">
        <f t="shared" si="64"/>
        <v>3</v>
      </c>
      <c r="AD109" s="41">
        <f t="shared" si="64"/>
        <v>2</v>
      </c>
      <c r="AE109" s="41">
        <f t="shared" si="64"/>
        <v>2</v>
      </c>
      <c r="AF109" s="41">
        <f t="shared" si="64"/>
        <v>2</v>
      </c>
      <c r="AG109" s="41">
        <f t="shared" si="64"/>
        <v>2</v>
      </c>
      <c r="AH109" s="41">
        <f t="shared" si="64"/>
        <v>2</v>
      </c>
      <c r="AI109" s="41">
        <f t="shared" si="64"/>
        <v>2</v>
      </c>
      <c r="AJ109" s="41">
        <f t="shared" si="64"/>
        <v>2</v>
      </c>
      <c r="AK109" s="41">
        <f t="shared" si="64"/>
        <v>2</v>
      </c>
      <c r="AL109" s="41">
        <f t="shared" si="64"/>
        <v>2</v>
      </c>
      <c r="AM109" s="41">
        <f t="shared" si="64"/>
        <v>2</v>
      </c>
      <c r="AN109" s="41">
        <f t="shared" si="64"/>
        <v>1</v>
      </c>
      <c r="AO109" s="41">
        <f t="shared" si="64"/>
        <v>1</v>
      </c>
      <c r="AP109" s="41">
        <f t="shared" si="64"/>
        <v>1</v>
      </c>
      <c r="AQ109" s="41">
        <f t="shared" si="64"/>
        <v>1</v>
      </c>
      <c r="AR109" s="41">
        <f t="shared" si="64"/>
        <v>1</v>
      </c>
      <c r="AS109" s="41">
        <f t="shared" si="64"/>
        <v>1</v>
      </c>
      <c r="AT109" s="41">
        <f t="shared" si="64"/>
        <v>1</v>
      </c>
      <c r="AU109" s="41">
        <f t="shared" si="64"/>
        <v>1</v>
      </c>
      <c r="AV109" s="41">
        <f t="shared" si="64"/>
        <v>1</v>
      </c>
      <c r="AW109" s="41">
        <f t="shared" si="64"/>
        <v>1</v>
      </c>
      <c r="AX109" s="41" t="e">
        <f t="shared" si="64"/>
        <v>#N/A</v>
      </c>
      <c r="AY109" s="41" t="e">
        <f t="shared" si="64"/>
        <v>#N/A</v>
      </c>
    </row>
    <row r="110" spans="1:78" s="140" customFormat="1">
      <c r="A110" s="139" t="s">
        <v>17</v>
      </c>
      <c r="B110" s="140" t="s">
        <v>406</v>
      </c>
      <c r="I110" s="145"/>
      <c r="K110" s="231">
        <f>IF(ISNA(K107),-1,IF(ISNA(K109),99,IF(ISNA(K108),K107,0)))</f>
        <v>0</v>
      </c>
      <c r="L110" s="231">
        <f t="shared" ref="L110:AY110" si="65">IF(ISNA(L107),-1,IF(ISNA(L109),99,IF(ISNA(L108),L107,0)))</f>
        <v>1</v>
      </c>
      <c r="M110" s="231">
        <f t="shared" si="65"/>
        <v>1</v>
      </c>
      <c r="N110" s="231">
        <f t="shared" si="65"/>
        <v>0</v>
      </c>
      <c r="O110" s="231">
        <f t="shared" si="65"/>
        <v>2</v>
      </c>
      <c r="P110" s="231">
        <f t="shared" si="65"/>
        <v>2</v>
      </c>
      <c r="Q110" s="231">
        <f t="shared" si="65"/>
        <v>2</v>
      </c>
      <c r="R110" s="231">
        <f t="shared" si="65"/>
        <v>2</v>
      </c>
      <c r="S110" s="231">
        <f t="shared" si="65"/>
        <v>0</v>
      </c>
      <c r="T110" s="231">
        <f t="shared" si="65"/>
        <v>3</v>
      </c>
      <c r="U110" s="231">
        <f t="shared" si="65"/>
        <v>3</v>
      </c>
      <c r="V110" s="231">
        <f t="shared" si="65"/>
        <v>3</v>
      </c>
      <c r="W110" s="231">
        <f t="shared" si="65"/>
        <v>3</v>
      </c>
      <c r="X110" s="231">
        <f t="shared" si="65"/>
        <v>3</v>
      </c>
      <c r="Y110" s="231">
        <f t="shared" si="65"/>
        <v>3</v>
      </c>
      <c r="Z110" s="231">
        <f t="shared" si="65"/>
        <v>3</v>
      </c>
      <c r="AA110" s="231">
        <f t="shared" si="65"/>
        <v>3</v>
      </c>
      <c r="AB110" s="231">
        <f t="shared" si="65"/>
        <v>3</v>
      </c>
      <c r="AC110" s="231">
        <f t="shared" si="65"/>
        <v>0</v>
      </c>
      <c r="AD110" s="231">
        <f t="shared" si="65"/>
        <v>4</v>
      </c>
      <c r="AE110" s="231">
        <f t="shared" si="65"/>
        <v>4</v>
      </c>
      <c r="AF110" s="231">
        <f t="shared" si="65"/>
        <v>4</v>
      </c>
      <c r="AG110" s="231">
        <f t="shared" si="65"/>
        <v>4</v>
      </c>
      <c r="AH110" s="231">
        <f t="shared" si="65"/>
        <v>4</v>
      </c>
      <c r="AI110" s="231">
        <f t="shared" si="65"/>
        <v>4</v>
      </c>
      <c r="AJ110" s="231">
        <f t="shared" si="65"/>
        <v>4</v>
      </c>
      <c r="AK110" s="231">
        <f t="shared" si="65"/>
        <v>4</v>
      </c>
      <c r="AL110" s="231">
        <f t="shared" si="65"/>
        <v>4</v>
      </c>
      <c r="AM110" s="231">
        <f t="shared" si="65"/>
        <v>0</v>
      </c>
      <c r="AN110" s="231">
        <f t="shared" si="65"/>
        <v>5</v>
      </c>
      <c r="AO110" s="231">
        <f t="shared" si="65"/>
        <v>5</v>
      </c>
      <c r="AP110" s="231">
        <f t="shared" si="65"/>
        <v>5</v>
      </c>
      <c r="AQ110" s="231">
        <f t="shared" si="65"/>
        <v>5</v>
      </c>
      <c r="AR110" s="231">
        <f t="shared" si="65"/>
        <v>5</v>
      </c>
      <c r="AS110" s="231">
        <f t="shared" si="65"/>
        <v>5</v>
      </c>
      <c r="AT110" s="231">
        <f t="shared" si="65"/>
        <v>5</v>
      </c>
      <c r="AU110" s="231">
        <f t="shared" si="65"/>
        <v>5</v>
      </c>
      <c r="AV110" s="231">
        <f t="shared" si="65"/>
        <v>5</v>
      </c>
      <c r="AW110" s="231">
        <f t="shared" si="65"/>
        <v>0</v>
      </c>
      <c r="AX110" s="231">
        <f t="shared" si="65"/>
        <v>99</v>
      </c>
      <c r="AY110" s="231">
        <f t="shared" si="65"/>
        <v>99</v>
      </c>
      <c r="AZ110" s="227"/>
      <c r="BA110" s="227"/>
      <c r="BB110" s="227"/>
      <c r="BC110" s="227"/>
      <c r="BD110" s="227"/>
      <c r="BE110" s="227"/>
      <c r="BF110" s="227"/>
      <c r="BG110" s="227"/>
      <c r="BH110" s="227"/>
      <c r="BI110" s="227"/>
      <c r="BJ110" s="227"/>
      <c r="BK110" s="227"/>
      <c r="BL110" s="227"/>
      <c r="BM110" s="227"/>
      <c r="BN110" s="227"/>
      <c r="BO110" s="227"/>
      <c r="BP110" s="227"/>
      <c r="BQ110" s="227"/>
      <c r="BR110" s="227"/>
      <c r="BS110" s="227"/>
      <c r="BT110" s="227"/>
      <c r="BU110" s="227"/>
      <c r="BV110" s="227"/>
      <c r="BW110" s="227"/>
      <c r="BX110" s="227"/>
      <c r="BY110" s="227"/>
      <c r="BZ110" s="227"/>
    </row>
    <row r="111" spans="1:78">
      <c r="A111" s="139" t="s">
        <v>17</v>
      </c>
      <c r="B111" s="22" t="str">
        <f t="shared" ref="B111:B123" si="66">IF(A111="*","","COM_PROJ")</f>
        <v/>
      </c>
      <c r="C111" s="23" t="str">
        <f t="shared" ref="C111:C123" si="67">IF($A111="*","","-")</f>
        <v/>
      </c>
      <c r="D111" s="61" t="str">
        <f>ITEMS_TRA!C15</f>
        <v>TFLCV</v>
      </c>
      <c r="E111" s="23" t="str">
        <f t="shared" ref="E111:H123" si="68">IF($A111="*","","-")</f>
        <v/>
      </c>
      <c r="F111" s="23" t="str">
        <f t="shared" si="68"/>
        <v/>
      </c>
      <c r="G111" s="23" t="str">
        <f t="shared" si="68"/>
        <v/>
      </c>
      <c r="H111" s="23" t="str">
        <f t="shared" si="68"/>
        <v/>
      </c>
      <c r="I111" s="148" t="str">
        <f t="shared" ref="I111:I123" si="69">IF(A111="*","",0)</f>
        <v/>
      </c>
      <c r="K111" s="228">
        <f>INDEX('[3]TS BYDem'!J$10:J$59,MATCH($D111,'[3]TS BYDem'!D$10:D$59,0))</f>
        <v>43.11250375056882</v>
      </c>
      <c r="L111" s="228">
        <f t="shared" ref="L111:AY117" si="70">IF(L$110=-1,M111,IF(L$110=99,K111,IF(L$110=0,INDEX($F92:$L92,0,L$108),(INDEX($F92:$L92,0,L$110+1)-INDEX($F92:$L92,0,L$110))/(INDEX($F$4:$L$4,0,L$110+1)-INDEX($F$4:$L$4,0,L$110))+K111)))</f>
        <v>43.541669167045889</v>
      </c>
      <c r="M111" s="228">
        <f t="shared" si="70"/>
        <v>43.970834583522958</v>
      </c>
      <c r="N111" s="228">
        <f t="shared" si="70"/>
        <v>44.4</v>
      </c>
      <c r="O111" s="228">
        <f t="shared" si="70"/>
        <v>44.871410582810697</v>
      </c>
      <c r="P111" s="228">
        <f t="shared" si="70"/>
        <v>45.342821165621402</v>
      </c>
      <c r="Q111" s="228">
        <f t="shared" si="70"/>
        <v>45.814231748432107</v>
      </c>
      <c r="R111" s="228">
        <f t="shared" si="70"/>
        <v>46.285642331242812</v>
      </c>
      <c r="S111" s="228">
        <f t="shared" si="70"/>
        <v>45.342821165621402</v>
      </c>
      <c r="T111" s="228">
        <f t="shared" si="70"/>
        <v>45.918669137564208</v>
      </c>
      <c r="U111" s="228">
        <f t="shared" si="70"/>
        <v>46.494517109507015</v>
      </c>
      <c r="V111" s="228">
        <f t="shared" si="70"/>
        <v>47.070365081449822</v>
      </c>
      <c r="W111" s="228">
        <f t="shared" si="70"/>
        <v>47.646213053392628</v>
      </c>
      <c r="X111" s="228">
        <f t="shared" si="70"/>
        <v>48.222061025335435</v>
      </c>
      <c r="Y111" s="228">
        <f t="shared" si="70"/>
        <v>48.797908997278242</v>
      </c>
      <c r="Z111" s="228">
        <f t="shared" si="70"/>
        <v>49.373756969221049</v>
      </c>
      <c r="AA111" s="228">
        <f t="shared" si="70"/>
        <v>49.949604941163855</v>
      </c>
      <c r="AB111" s="228">
        <f t="shared" si="70"/>
        <v>50.525452913106662</v>
      </c>
      <c r="AC111" s="228">
        <f t="shared" si="70"/>
        <v>47.070365081449829</v>
      </c>
      <c r="AD111" s="228">
        <f t="shared" si="70"/>
        <v>47.746830997196319</v>
      </c>
      <c r="AE111" s="228">
        <f t="shared" si="70"/>
        <v>48.42329691294281</v>
      </c>
      <c r="AF111" s="228">
        <f t="shared" si="70"/>
        <v>49.0997628286893</v>
      </c>
      <c r="AG111" s="228">
        <f t="shared" si="70"/>
        <v>49.776228744435791</v>
      </c>
      <c r="AH111" s="228">
        <f t="shared" si="70"/>
        <v>50.452694660182281</v>
      </c>
      <c r="AI111" s="228">
        <f t="shared" si="70"/>
        <v>51.129160575928772</v>
      </c>
      <c r="AJ111" s="228">
        <f t="shared" si="70"/>
        <v>51.805626491675262</v>
      </c>
      <c r="AK111" s="228">
        <f t="shared" si="70"/>
        <v>52.482092407421753</v>
      </c>
      <c r="AL111" s="228">
        <f t="shared" si="70"/>
        <v>53.158558323168243</v>
      </c>
      <c r="AM111" s="228">
        <f t="shared" si="70"/>
        <v>53.835024238914734</v>
      </c>
      <c r="AN111" s="228">
        <f t="shared" si="70"/>
        <v>54.789125050621124</v>
      </c>
      <c r="AO111" s="228">
        <f t="shared" si="70"/>
        <v>55.743225862327513</v>
      </c>
      <c r="AP111" s="228">
        <f t="shared" si="70"/>
        <v>56.697326674033903</v>
      </c>
      <c r="AQ111" s="228">
        <f t="shared" si="70"/>
        <v>57.651427485740292</v>
      </c>
      <c r="AR111" s="228">
        <f t="shared" si="70"/>
        <v>58.605528297446682</v>
      </c>
      <c r="AS111" s="228">
        <f t="shared" si="70"/>
        <v>59.559629109153072</v>
      </c>
      <c r="AT111" s="228">
        <f t="shared" si="70"/>
        <v>60.513729920859461</v>
      </c>
      <c r="AU111" s="228">
        <f t="shared" si="70"/>
        <v>61.467830732565851</v>
      </c>
      <c r="AV111" s="228">
        <f t="shared" si="70"/>
        <v>62.42193154427224</v>
      </c>
      <c r="AW111" s="228">
        <f t="shared" si="70"/>
        <v>63.376032355978644</v>
      </c>
      <c r="AX111" s="228">
        <f t="shared" si="70"/>
        <v>63.376032355978644</v>
      </c>
      <c r="AY111" s="228">
        <f t="shared" si="70"/>
        <v>63.376032355978644</v>
      </c>
    </row>
    <row r="112" spans="1:78">
      <c r="A112" s="139" t="s">
        <v>17</v>
      </c>
      <c r="B112" s="22" t="str">
        <f t="shared" si="66"/>
        <v/>
      </c>
      <c r="C112" s="23" t="str">
        <f t="shared" si="67"/>
        <v/>
      </c>
      <c r="D112" s="61" t="str">
        <f>ITEMS_TRA!C16</f>
        <v>TFHCV1</v>
      </c>
      <c r="E112" s="23" t="str">
        <f t="shared" si="68"/>
        <v/>
      </c>
      <c r="F112" s="23" t="str">
        <f t="shared" si="68"/>
        <v/>
      </c>
      <c r="G112" s="23" t="str">
        <f t="shared" si="68"/>
        <v/>
      </c>
      <c r="H112" s="23" t="str">
        <f t="shared" si="68"/>
        <v/>
      </c>
      <c r="I112" s="148" t="str">
        <f t="shared" si="69"/>
        <v/>
      </c>
      <c r="K112" s="228">
        <f>INDEX('[3]TS BYDem'!J$10:J$59,MATCH($D112,'[3]TS BYDem'!D$10:D$59,0))</f>
        <v>3.310563752317667</v>
      </c>
      <c r="L112" s="228">
        <f t="shared" si="70"/>
        <v>3.3405637523176668</v>
      </c>
      <c r="M112" s="228">
        <f t="shared" si="70"/>
        <v>3.3705637523176666</v>
      </c>
      <c r="N112" s="228">
        <f>IF(N$110=-1,O112,IF(N$110=99,M112,IF(N$110=0,INDEX($F93:$L93,0,N$108),(INDEX($F93:$L93,0,N$110+1)-INDEX($F93:$L93,0,N$110))/(INDEX($F$4:$L$4,0,N$110+1)-INDEX($F$4:$L$4,0,N$110))+M112)))</f>
        <v>3.4</v>
      </c>
      <c r="O112" s="228">
        <f t="shared" si="70"/>
        <v>3.4249999999999998</v>
      </c>
      <c r="P112" s="228">
        <f t="shared" si="70"/>
        <v>3.45</v>
      </c>
      <c r="Q112" s="228">
        <f t="shared" si="70"/>
        <v>3.4750000000000005</v>
      </c>
      <c r="R112" s="228">
        <f t="shared" si="70"/>
        <v>3.5000000000000009</v>
      </c>
      <c r="S112" s="228">
        <f t="shared" si="70"/>
        <v>3.45</v>
      </c>
      <c r="T112" s="228">
        <f t="shared" si="70"/>
        <v>3.5046227495160913</v>
      </c>
      <c r="U112" s="228">
        <f t="shared" si="70"/>
        <v>3.5592454990321825</v>
      </c>
      <c r="V112" s="228">
        <f t="shared" si="70"/>
        <v>3.6138682485482736</v>
      </c>
      <c r="W112" s="228">
        <f t="shared" si="70"/>
        <v>3.6684909980643647</v>
      </c>
      <c r="X112" s="228">
        <f t="shared" si="70"/>
        <v>3.7231137475804559</v>
      </c>
      <c r="Y112" s="228">
        <f t="shared" si="70"/>
        <v>3.777736497096547</v>
      </c>
      <c r="Z112" s="228">
        <f t="shared" si="70"/>
        <v>3.8323592466126382</v>
      </c>
      <c r="AA112" s="228">
        <f t="shared" si="70"/>
        <v>3.8869819961287293</v>
      </c>
      <c r="AB112" s="228">
        <f t="shared" si="70"/>
        <v>3.9416047456448204</v>
      </c>
      <c r="AC112" s="228">
        <f t="shared" si="70"/>
        <v>3.6138682485482732</v>
      </c>
      <c r="AD112" s="228">
        <f t="shared" si="70"/>
        <v>3.6658045080166493</v>
      </c>
      <c r="AE112" s="228">
        <f t="shared" si="70"/>
        <v>3.7177407674850254</v>
      </c>
      <c r="AF112" s="228">
        <f t="shared" si="70"/>
        <v>3.7696770269534015</v>
      </c>
      <c r="AG112" s="228">
        <f t="shared" si="70"/>
        <v>3.8216132864217776</v>
      </c>
      <c r="AH112" s="228">
        <f t="shared" si="70"/>
        <v>3.8735495458901537</v>
      </c>
      <c r="AI112" s="228">
        <f t="shared" si="70"/>
        <v>3.9254858053585298</v>
      </c>
      <c r="AJ112" s="228">
        <f t="shared" si="70"/>
        <v>3.9774220648269059</v>
      </c>
      <c r="AK112" s="228">
        <f t="shared" si="70"/>
        <v>4.0293583242952824</v>
      </c>
      <c r="AL112" s="228">
        <f t="shared" si="70"/>
        <v>4.0812945837636585</v>
      </c>
      <c r="AM112" s="228">
        <f t="shared" si="70"/>
        <v>4.1332308432320355</v>
      </c>
      <c r="AN112" s="228">
        <f t="shared" si="70"/>
        <v>4.2064827634874558</v>
      </c>
      <c r="AO112" s="228">
        <f t="shared" si="70"/>
        <v>4.2797346837428751</v>
      </c>
      <c r="AP112" s="228">
        <f t="shared" si="70"/>
        <v>4.3529866039982945</v>
      </c>
      <c r="AQ112" s="228">
        <f t="shared" si="70"/>
        <v>4.4262385242537139</v>
      </c>
      <c r="AR112" s="228">
        <f t="shared" si="70"/>
        <v>4.4994904445091333</v>
      </c>
      <c r="AS112" s="228">
        <f t="shared" si="70"/>
        <v>4.5727423647645526</v>
      </c>
      <c r="AT112" s="228">
        <f t="shared" si="70"/>
        <v>4.645994285019972</v>
      </c>
      <c r="AU112" s="228">
        <f t="shared" si="70"/>
        <v>4.7192462052753914</v>
      </c>
      <c r="AV112" s="228">
        <f t="shared" si="70"/>
        <v>4.7924981255308108</v>
      </c>
      <c r="AW112" s="228">
        <f t="shared" si="70"/>
        <v>4.8657500457862337</v>
      </c>
      <c r="AX112" s="228">
        <f t="shared" si="70"/>
        <v>4.8657500457862337</v>
      </c>
      <c r="AY112" s="228">
        <f t="shared" si="70"/>
        <v>4.8657500457862337</v>
      </c>
    </row>
    <row r="113" spans="1:78">
      <c r="A113" s="139" t="s">
        <v>17</v>
      </c>
      <c r="B113" s="22" t="str">
        <f t="shared" si="66"/>
        <v/>
      </c>
      <c r="C113" s="23" t="str">
        <f t="shared" si="67"/>
        <v/>
      </c>
      <c r="D113" s="61" t="str">
        <f>ITEMS_TRA!C17</f>
        <v>TFHCV2</v>
      </c>
      <c r="E113" s="23" t="str">
        <f t="shared" si="68"/>
        <v/>
      </c>
      <c r="F113" s="23" t="str">
        <f t="shared" si="68"/>
        <v/>
      </c>
      <c r="G113" s="23" t="str">
        <f t="shared" si="68"/>
        <v/>
      </c>
      <c r="H113" s="23" t="str">
        <f t="shared" si="68"/>
        <v/>
      </c>
      <c r="I113" s="148" t="str">
        <f t="shared" si="69"/>
        <v/>
      </c>
      <c r="K113" s="228">
        <f>INDEX('[3]TS BYDem'!J$10:J$59,MATCH($D113,'[3]TS BYDem'!D$10:D$59,0))</f>
        <v>0.6547839540708813</v>
      </c>
      <c r="L113" s="228">
        <f t="shared" si="70"/>
        <v>0.67123078144835724</v>
      </c>
      <c r="M113" s="228">
        <f t="shared" si="70"/>
        <v>0.68767760882583318</v>
      </c>
      <c r="N113" s="228">
        <f t="shared" si="70"/>
        <v>0.704124436203308</v>
      </c>
      <c r="O113" s="228">
        <f t="shared" si="70"/>
        <v>0.72006693722491655</v>
      </c>
      <c r="P113" s="228">
        <f t="shared" si="70"/>
        <v>0.73600943824652509</v>
      </c>
      <c r="Q113" s="228">
        <f t="shared" si="70"/>
        <v>0.75195193926813364</v>
      </c>
      <c r="R113" s="228">
        <f t="shared" si="70"/>
        <v>0.76789444028974219</v>
      </c>
      <c r="S113" s="228">
        <f t="shared" si="70"/>
        <v>0.73600943824652509</v>
      </c>
      <c r="T113" s="228">
        <f t="shared" si="70"/>
        <v>0.72897134163823174</v>
      </c>
      <c r="U113" s="228">
        <f t="shared" si="70"/>
        <v>0.72193324502993839</v>
      </c>
      <c r="V113" s="228">
        <f t="shared" si="70"/>
        <v>0.71489514842164503</v>
      </c>
      <c r="W113" s="228">
        <f t="shared" si="70"/>
        <v>0.70785705181335168</v>
      </c>
      <c r="X113" s="228">
        <f t="shared" si="70"/>
        <v>0.70081895520505832</v>
      </c>
      <c r="Y113" s="228">
        <f t="shared" si="70"/>
        <v>0.69378085859676497</v>
      </c>
      <c r="Z113" s="228">
        <f t="shared" si="70"/>
        <v>0.68674276198847162</v>
      </c>
      <c r="AA113" s="228">
        <f t="shared" si="70"/>
        <v>0.67970466538017826</v>
      </c>
      <c r="AB113" s="228">
        <f t="shared" si="70"/>
        <v>0.67266656877188491</v>
      </c>
      <c r="AC113" s="228">
        <f t="shared" si="70"/>
        <v>0.71489514842164503</v>
      </c>
      <c r="AD113" s="228">
        <f t="shared" si="70"/>
        <v>0.725169175410876</v>
      </c>
      <c r="AE113" s="228">
        <f t="shared" si="70"/>
        <v>0.73544320240010697</v>
      </c>
      <c r="AF113" s="228">
        <f t="shared" si="70"/>
        <v>0.74571722938933793</v>
      </c>
      <c r="AG113" s="228">
        <f t="shared" si="70"/>
        <v>0.7559912563785689</v>
      </c>
      <c r="AH113" s="228">
        <f t="shared" si="70"/>
        <v>0.76626528336779987</v>
      </c>
      <c r="AI113" s="228">
        <f t="shared" si="70"/>
        <v>0.77653931035703083</v>
      </c>
      <c r="AJ113" s="228">
        <f t="shared" si="70"/>
        <v>0.7868133373462618</v>
      </c>
      <c r="AK113" s="228">
        <f t="shared" si="70"/>
        <v>0.79708736433549277</v>
      </c>
      <c r="AL113" s="228">
        <f t="shared" si="70"/>
        <v>0.80736139132472373</v>
      </c>
      <c r="AM113" s="228">
        <f t="shared" si="70"/>
        <v>0.81763541831395481</v>
      </c>
      <c r="AN113" s="228">
        <f t="shared" si="70"/>
        <v>0.8321261077363501</v>
      </c>
      <c r="AO113" s="228">
        <f t="shared" si="70"/>
        <v>0.84661679715874538</v>
      </c>
      <c r="AP113" s="228">
        <f t="shared" si="70"/>
        <v>0.86110748658114067</v>
      </c>
      <c r="AQ113" s="228">
        <f t="shared" si="70"/>
        <v>0.87559817600353596</v>
      </c>
      <c r="AR113" s="228">
        <f t="shared" si="70"/>
        <v>0.89008886542593124</v>
      </c>
      <c r="AS113" s="228">
        <f t="shared" si="70"/>
        <v>0.90457955484832653</v>
      </c>
      <c r="AT113" s="228">
        <f t="shared" si="70"/>
        <v>0.91907024427072181</v>
      </c>
      <c r="AU113" s="228">
        <f t="shared" si="70"/>
        <v>0.9335609336931171</v>
      </c>
      <c r="AV113" s="228">
        <f t="shared" si="70"/>
        <v>0.94805162311551239</v>
      </c>
      <c r="AW113" s="228">
        <f t="shared" si="70"/>
        <v>0.96254231253790812</v>
      </c>
      <c r="AX113" s="228">
        <f t="shared" si="70"/>
        <v>0.96254231253790812</v>
      </c>
      <c r="AY113" s="228">
        <f t="shared" si="70"/>
        <v>0.96254231253790812</v>
      </c>
    </row>
    <row r="114" spans="1:78">
      <c r="A114" s="139" t="s">
        <v>17</v>
      </c>
      <c r="B114" s="22" t="str">
        <f t="shared" si="66"/>
        <v/>
      </c>
      <c r="C114" s="23" t="str">
        <f t="shared" si="67"/>
        <v/>
      </c>
      <c r="D114" s="61" t="str">
        <f>ITEMS_TRA!C18</f>
        <v>TFHCV3</v>
      </c>
      <c r="E114" s="23" t="str">
        <f t="shared" si="68"/>
        <v/>
      </c>
      <c r="F114" s="23" t="str">
        <f t="shared" si="68"/>
        <v/>
      </c>
      <c r="G114" s="23" t="str">
        <f t="shared" si="68"/>
        <v/>
      </c>
      <c r="H114" s="23" t="str">
        <f t="shared" si="68"/>
        <v/>
      </c>
      <c r="I114" s="148" t="str">
        <f t="shared" si="69"/>
        <v/>
      </c>
      <c r="K114" s="228">
        <f>INDEX('[3]TS BYDem'!J$10:J$59,MATCH($D114,'[3]TS BYDem'!D$10:D$59,0))</f>
        <v>2.7114063478211388</v>
      </c>
      <c r="L114" s="228">
        <f t="shared" si="70"/>
        <v>2.7742708985474289</v>
      </c>
      <c r="M114" s="228">
        <f t="shared" si="70"/>
        <v>2.8371354492737191</v>
      </c>
      <c r="N114" s="228">
        <f t="shared" si="70"/>
        <v>2.9</v>
      </c>
      <c r="O114" s="228">
        <f t="shared" si="70"/>
        <v>2.9652984627095749</v>
      </c>
      <c r="P114" s="228">
        <f t="shared" si="70"/>
        <v>3.0305969254191498</v>
      </c>
      <c r="Q114" s="228">
        <f t="shared" si="70"/>
        <v>3.0958953881287248</v>
      </c>
      <c r="R114" s="228">
        <f t="shared" si="70"/>
        <v>3.1611938508382997</v>
      </c>
      <c r="S114" s="228">
        <f t="shared" si="70"/>
        <v>3.0305969254191498</v>
      </c>
      <c r="T114" s="228">
        <f t="shared" si="70"/>
        <v>3.0071718988497271</v>
      </c>
      <c r="U114" s="228">
        <f t="shared" si="70"/>
        <v>2.9837468722803044</v>
      </c>
      <c r="V114" s="228">
        <f t="shared" si="70"/>
        <v>2.9603218457108817</v>
      </c>
      <c r="W114" s="228">
        <f t="shared" si="70"/>
        <v>2.9368968191414591</v>
      </c>
      <c r="X114" s="228">
        <f t="shared" si="70"/>
        <v>2.9134717925720364</v>
      </c>
      <c r="Y114" s="228">
        <f t="shared" si="70"/>
        <v>2.8900467660026137</v>
      </c>
      <c r="Z114" s="228">
        <f t="shared" si="70"/>
        <v>2.866621739433191</v>
      </c>
      <c r="AA114" s="228">
        <f t="shared" si="70"/>
        <v>2.8431967128637683</v>
      </c>
      <c r="AB114" s="228">
        <f t="shared" si="70"/>
        <v>2.8197716862943456</v>
      </c>
      <c r="AC114" s="228">
        <f t="shared" si="70"/>
        <v>2.9603218457108817</v>
      </c>
      <c r="AD114" s="228">
        <f t="shared" si="70"/>
        <v>3.0028657440808639</v>
      </c>
      <c r="AE114" s="228">
        <f t="shared" si="70"/>
        <v>3.0454096424508461</v>
      </c>
      <c r="AF114" s="228">
        <f t="shared" si="70"/>
        <v>3.0879535408208283</v>
      </c>
      <c r="AG114" s="228">
        <f t="shared" si="70"/>
        <v>3.1304974391908105</v>
      </c>
      <c r="AH114" s="228">
        <f t="shared" si="70"/>
        <v>3.1730413375607927</v>
      </c>
      <c r="AI114" s="228">
        <f t="shared" si="70"/>
        <v>3.2155852359307748</v>
      </c>
      <c r="AJ114" s="228">
        <f t="shared" si="70"/>
        <v>3.258129134300757</v>
      </c>
      <c r="AK114" s="228">
        <f t="shared" si="70"/>
        <v>3.3006730326707392</v>
      </c>
      <c r="AL114" s="228">
        <f t="shared" si="70"/>
        <v>3.3432169310407214</v>
      </c>
      <c r="AM114" s="228">
        <f t="shared" si="70"/>
        <v>3.3857608294107018</v>
      </c>
      <c r="AN114" s="228">
        <f t="shared" si="70"/>
        <v>3.445765579129926</v>
      </c>
      <c r="AO114" s="228">
        <f t="shared" si="70"/>
        <v>3.5057703288491502</v>
      </c>
      <c r="AP114" s="228">
        <f t="shared" si="70"/>
        <v>3.5657750785683744</v>
      </c>
      <c r="AQ114" s="228">
        <f t="shared" si="70"/>
        <v>3.6257798282875986</v>
      </c>
      <c r="AR114" s="228">
        <f t="shared" si="70"/>
        <v>3.6857845780068228</v>
      </c>
      <c r="AS114" s="228">
        <f t="shared" si="70"/>
        <v>3.745789327726047</v>
      </c>
      <c r="AT114" s="228">
        <f t="shared" si="70"/>
        <v>3.8057940774452712</v>
      </c>
      <c r="AU114" s="228">
        <f t="shared" si="70"/>
        <v>3.8657988271644954</v>
      </c>
      <c r="AV114" s="228">
        <f t="shared" si="70"/>
        <v>3.9258035768837196</v>
      </c>
      <c r="AW114" s="228">
        <f t="shared" si="70"/>
        <v>3.9858083266029447</v>
      </c>
      <c r="AX114" s="228">
        <f t="shared" si="70"/>
        <v>3.9858083266029447</v>
      </c>
      <c r="AY114" s="228">
        <f t="shared" si="70"/>
        <v>3.9858083266029447</v>
      </c>
    </row>
    <row r="115" spans="1:78">
      <c r="A115" s="139" t="s">
        <v>17</v>
      </c>
      <c r="B115" s="22" t="str">
        <f t="shared" si="66"/>
        <v/>
      </c>
      <c r="C115" s="23" t="str">
        <f t="shared" si="67"/>
        <v/>
      </c>
      <c r="D115" s="61" t="str">
        <f>ITEMS_TRA!C19</f>
        <v>TFHCV4</v>
      </c>
      <c r="E115" s="23" t="str">
        <f t="shared" si="68"/>
        <v/>
      </c>
      <c r="F115" s="23" t="str">
        <f t="shared" si="68"/>
        <v/>
      </c>
      <c r="G115" s="23" t="str">
        <f t="shared" si="68"/>
        <v/>
      </c>
      <c r="H115" s="23" t="str">
        <f t="shared" si="68"/>
        <v/>
      </c>
      <c r="I115" s="148" t="str">
        <f t="shared" si="69"/>
        <v/>
      </c>
      <c r="K115" s="228">
        <f>INDEX('[3]TS BYDem'!J$10:J$59,MATCH($D115,'[3]TS BYDem'!D$10:D$59,0))</f>
        <v>0.57023972229676956</v>
      </c>
      <c r="L115" s="228">
        <f t="shared" si="70"/>
        <v>0.55900373411704862</v>
      </c>
      <c r="M115" s="228">
        <f t="shared" si="70"/>
        <v>0.54776774593732769</v>
      </c>
      <c r="N115" s="228">
        <f t="shared" si="70"/>
        <v>0.53653175775760331</v>
      </c>
      <c r="O115" s="228">
        <f t="shared" si="70"/>
        <v>0.54016937887880168</v>
      </c>
      <c r="P115" s="228">
        <f t="shared" si="70"/>
        <v>0.54380700000000004</v>
      </c>
      <c r="Q115" s="228">
        <f t="shared" si="70"/>
        <v>0.5474446211211984</v>
      </c>
      <c r="R115" s="228">
        <f t="shared" si="70"/>
        <v>0.55108224224239677</v>
      </c>
      <c r="S115" s="228">
        <f t="shared" si="70"/>
        <v>0.54380700000000004</v>
      </c>
      <c r="T115" s="228">
        <f t="shared" si="70"/>
        <v>0.57006783146719719</v>
      </c>
      <c r="U115" s="228">
        <f t="shared" si="70"/>
        <v>0.59632866293439435</v>
      </c>
      <c r="V115" s="228">
        <f t="shared" si="70"/>
        <v>0.6225894944015915</v>
      </c>
      <c r="W115" s="228">
        <f t="shared" si="70"/>
        <v>0.64885032586878866</v>
      </c>
      <c r="X115" s="228">
        <f t="shared" si="70"/>
        <v>0.67511115733598581</v>
      </c>
      <c r="Y115" s="228">
        <f t="shared" si="70"/>
        <v>0.70137198880318297</v>
      </c>
      <c r="Z115" s="228">
        <f t="shared" si="70"/>
        <v>0.72763282027038012</v>
      </c>
      <c r="AA115" s="228">
        <f t="shared" si="70"/>
        <v>0.75389365173757728</v>
      </c>
      <c r="AB115" s="228">
        <f t="shared" si="70"/>
        <v>0.78015448320477443</v>
      </c>
      <c r="AC115" s="228">
        <f t="shared" si="70"/>
        <v>0.6225894944015915</v>
      </c>
      <c r="AD115" s="228">
        <f t="shared" si="70"/>
        <v>0.63153696212859445</v>
      </c>
      <c r="AE115" s="228">
        <f t="shared" si="70"/>
        <v>0.64048442985559739</v>
      </c>
      <c r="AF115" s="228">
        <f t="shared" si="70"/>
        <v>0.64943189758260034</v>
      </c>
      <c r="AG115" s="228">
        <f t="shared" si="70"/>
        <v>0.65837936530960328</v>
      </c>
      <c r="AH115" s="228">
        <f t="shared" si="70"/>
        <v>0.66732683303660623</v>
      </c>
      <c r="AI115" s="228">
        <f t="shared" si="70"/>
        <v>0.67627430076360917</v>
      </c>
      <c r="AJ115" s="228">
        <f t="shared" si="70"/>
        <v>0.68522176849061212</v>
      </c>
      <c r="AK115" s="228">
        <f t="shared" si="70"/>
        <v>0.69416923621761506</v>
      </c>
      <c r="AL115" s="228">
        <f t="shared" si="70"/>
        <v>0.703116703944618</v>
      </c>
      <c r="AM115" s="228">
        <f t="shared" si="70"/>
        <v>0.7120641716716205</v>
      </c>
      <c r="AN115" s="228">
        <f t="shared" si="70"/>
        <v>0.72468385586018713</v>
      </c>
      <c r="AO115" s="228">
        <f t="shared" si="70"/>
        <v>0.73730354004875376</v>
      </c>
      <c r="AP115" s="228">
        <f t="shared" si="70"/>
        <v>0.74992322423732038</v>
      </c>
      <c r="AQ115" s="228">
        <f t="shared" si="70"/>
        <v>0.76254290842588701</v>
      </c>
      <c r="AR115" s="228">
        <f t="shared" si="70"/>
        <v>0.77516259261445364</v>
      </c>
      <c r="AS115" s="228">
        <f t="shared" si="70"/>
        <v>0.78778227680302026</v>
      </c>
      <c r="AT115" s="228">
        <f t="shared" si="70"/>
        <v>0.80040196099158689</v>
      </c>
      <c r="AU115" s="228">
        <f t="shared" si="70"/>
        <v>0.81302164518015352</v>
      </c>
      <c r="AV115" s="228">
        <f t="shared" si="70"/>
        <v>0.82564132936872014</v>
      </c>
      <c r="AW115" s="228">
        <f t="shared" si="70"/>
        <v>0.83826101355728655</v>
      </c>
      <c r="AX115" s="228">
        <f t="shared" si="70"/>
        <v>0.83826101355728655</v>
      </c>
      <c r="AY115" s="228">
        <f t="shared" si="70"/>
        <v>0.83826101355728655</v>
      </c>
    </row>
    <row r="116" spans="1:78">
      <c r="A116" s="139" t="s">
        <v>17</v>
      </c>
      <c r="B116" s="22" t="str">
        <f t="shared" si="66"/>
        <v/>
      </c>
      <c r="C116" s="23" t="str">
        <f t="shared" si="67"/>
        <v/>
      </c>
      <c r="D116" s="61" t="str">
        <f>ITEMS_TRA!C20</f>
        <v>TFHCV5</v>
      </c>
      <c r="E116" s="23" t="str">
        <f t="shared" si="68"/>
        <v/>
      </c>
      <c r="F116" s="23" t="str">
        <f t="shared" si="68"/>
        <v/>
      </c>
      <c r="G116" s="23" t="str">
        <f t="shared" si="68"/>
        <v/>
      </c>
      <c r="H116" s="23" t="str">
        <f t="shared" si="68"/>
        <v/>
      </c>
      <c r="I116" s="148" t="str">
        <f t="shared" si="69"/>
        <v/>
      </c>
      <c r="K116" s="228">
        <f>INDEX('[3]TS BYDem'!J$10:J$59,MATCH($D116,'[3]TS BYDem'!D$10:D$59,0))</f>
        <v>0.27326501935541331</v>
      </c>
      <c r="L116" s="228">
        <f t="shared" si="70"/>
        <v>0.27740453823694228</v>
      </c>
      <c r="M116" s="228">
        <f t="shared" si="70"/>
        <v>0.28154405711847125</v>
      </c>
      <c r="N116" s="228">
        <f t="shared" si="70"/>
        <v>0.28568357599999999</v>
      </c>
      <c r="O116" s="228">
        <f t="shared" si="70"/>
        <v>0.2876204765</v>
      </c>
      <c r="P116" s="228">
        <f t="shared" si="70"/>
        <v>0.289557377</v>
      </c>
      <c r="Q116" s="228">
        <f t="shared" si="70"/>
        <v>0.29149427750000001</v>
      </c>
      <c r="R116" s="228">
        <f t="shared" si="70"/>
        <v>0.29343117800000001</v>
      </c>
      <c r="S116" s="228">
        <f t="shared" si="70"/>
        <v>0.289557377</v>
      </c>
      <c r="T116" s="228">
        <f t="shared" si="70"/>
        <v>0.29248878274193923</v>
      </c>
      <c r="U116" s="228">
        <f t="shared" si="70"/>
        <v>0.29542018848387847</v>
      </c>
      <c r="V116" s="228">
        <f t="shared" si="70"/>
        <v>0.2983515942258177</v>
      </c>
      <c r="W116" s="228">
        <f t="shared" si="70"/>
        <v>0.30128299996775693</v>
      </c>
      <c r="X116" s="228">
        <f t="shared" si="70"/>
        <v>0.30421440570969616</v>
      </c>
      <c r="Y116" s="228">
        <f t="shared" si="70"/>
        <v>0.30714581145163539</v>
      </c>
      <c r="Z116" s="228">
        <f t="shared" si="70"/>
        <v>0.31007721719357462</v>
      </c>
      <c r="AA116" s="228">
        <f t="shared" si="70"/>
        <v>0.31300862293551385</v>
      </c>
      <c r="AB116" s="228">
        <f t="shared" si="70"/>
        <v>0.31594002867745308</v>
      </c>
      <c r="AC116" s="228">
        <f t="shared" si="70"/>
        <v>0.29835159422581775</v>
      </c>
      <c r="AD116" s="228">
        <f t="shared" si="70"/>
        <v>0.30263931717109677</v>
      </c>
      <c r="AE116" s="228">
        <f t="shared" si="70"/>
        <v>0.30692704011637578</v>
      </c>
      <c r="AF116" s="228">
        <f t="shared" si="70"/>
        <v>0.3112147630616548</v>
      </c>
      <c r="AG116" s="228">
        <f t="shared" si="70"/>
        <v>0.31550248600693381</v>
      </c>
      <c r="AH116" s="228">
        <f t="shared" si="70"/>
        <v>0.31979020895221283</v>
      </c>
      <c r="AI116" s="228">
        <f t="shared" si="70"/>
        <v>0.32407793189749184</v>
      </c>
      <c r="AJ116" s="228">
        <f t="shared" si="70"/>
        <v>0.32836565484277086</v>
      </c>
      <c r="AK116" s="228">
        <f t="shared" si="70"/>
        <v>0.33265337778804988</v>
      </c>
      <c r="AL116" s="228">
        <f t="shared" si="70"/>
        <v>0.33694110073332889</v>
      </c>
      <c r="AM116" s="228">
        <f t="shared" si="70"/>
        <v>0.34122882367860796</v>
      </c>
      <c r="AN116" s="228">
        <f t="shared" si="70"/>
        <v>0.34727631232103046</v>
      </c>
      <c r="AO116" s="228">
        <f t="shared" si="70"/>
        <v>0.35332380096345295</v>
      </c>
      <c r="AP116" s="228">
        <f t="shared" si="70"/>
        <v>0.35937128960587544</v>
      </c>
      <c r="AQ116" s="228">
        <f t="shared" si="70"/>
        <v>0.36541877824829794</v>
      </c>
      <c r="AR116" s="228">
        <f t="shared" si="70"/>
        <v>0.37146626689072043</v>
      </c>
      <c r="AS116" s="228">
        <f t="shared" si="70"/>
        <v>0.37751375553314293</v>
      </c>
      <c r="AT116" s="228">
        <f t="shared" si="70"/>
        <v>0.38356124417556542</v>
      </c>
      <c r="AU116" s="228">
        <f t="shared" si="70"/>
        <v>0.38960873281798791</v>
      </c>
      <c r="AV116" s="228">
        <f t="shared" si="70"/>
        <v>0.39565622146041041</v>
      </c>
      <c r="AW116" s="228">
        <f t="shared" si="70"/>
        <v>0.40170371010283296</v>
      </c>
      <c r="AX116" s="228">
        <f t="shared" si="70"/>
        <v>0.40170371010283296</v>
      </c>
      <c r="AY116" s="228">
        <f t="shared" si="70"/>
        <v>0.40170371010283296</v>
      </c>
    </row>
    <row r="117" spans="1:78">
      <c r="A117" s="139" t="s">
        <v>17</v>
      </c>
      <c r="B117" s="22" t="str">
        <f t="shared" si="66"/>
        <v/>
      </c>
      <c r="C117" s="23" t="str">
        <f t="shared" si="67"/>
        <v/>
      </c>
      <c r="D117" s="61" t="str">
        <f>ITEMS_TRA!C21</f>
        <v>TFHCV6</v>
      </c>
      <c r="E117" s="23" t="str">
        <f t="shared" si="68"/>
        <v/>
      </c>
      <c r="F117" s="23" t="str">
        <f t="shared" si="68"/>
        <v/>
      </c>
      <c r="G117" s="23" t="str">
        <f t="shared" si="68"/>
        <v/>
      </c>
      <c r="H117" s="23" t="str">
        <f t="shared" si="68"/>
        <v/>
      </c>
      <c r="I117" s="148" t="str">
        <f t="shared" si="69"/>
        <v/>
      </c>
      <c r="K117" s="228">
        <f>INDEX('[3]TS BYDem'!J$10:J$59,MATCH($D117,'[3]TS BYDem'!D$10:D$59,0))</f>
        <v>5.0361375113209643</v>
      </c>
      <c r="L117" s="228">
        <f t="shared" si="70"/>
        <v>5.3607583408806443</v>
      </c>
      <c r="M117" s="228">
        <f t="shared" si="70"/>
        <v>5.6853791704403243</v>
      </c>
      <c r="N117" s="228">
        <f t="shared" si="70"/>
        <v>6.01</v>
      </c>
      <c r="O117" s="228">
        <f t="shared" si="70"/>
        <v>6.3253919226144593</v>
      </c>
      <c r="P117" s="228">
        <f t="shared" si="70"/>
        <v>6.6407838452289187</v>
      </c>
      <c r="Q117" s="228">
        <f t="shared" si="70"/>
        <v>6.9561757678433782</v>
      </c>
      <c r="R117" s="228">
        <f t="shared" si="70"/>
        <v>7.2715676904578377</v>
      </c>
      <c r="S117" s="228">
        <f t="shared" si="70"/>
        <v>6.6407838452289196</v>
      </c>
      <c r="T117" s="228">
        <f t="shared" si="70"/>
        <v>6.2600127394663838</v>
      </c>
      <c r="U117" s="228">
        <f t="shared" si="70"/>
        <v>5.879241633703848</v>
      </c>
      <c r="V117" s="228">
        <f t="shared" si="70"/>
        <v>5.4984705279413122</v>
      </c>
      <c r="W117" s="228">
        <f t="shared" si="70"/>
        <v>5.1176994221787764</v>
      </c>
      <c r="X117" s="228">
        <f t="shared" si="70"/>
        <v>4.7369283164162406</v>
      </c>
      <c r="Y117" s="228">
        <f t="shared" si="70"/>
        <v>4.3561572106537048</v>
      </c>
      <c r="Z117" s="228">
        <f t="shared" si="70"/>
        <v>3.9753861048911685</v>
      </c>
      <c r="AA117" s="228">
        <f t="shared" si="70"/>
        <v>3.5946149991286322</v>
      </c>
      <c r="AB117" s="228">
        <f t="shared" ref="AB117:AY117" si="71">IF(AB$110=-1,AC117,IF(AB$110=99,AA117,IF(AB$110=0,INDEX($F98:$L98,0,AB$108),(INDEX($F98:$L98,0,AB$110+1)-INDEX($F98:$L98,0,AB$110))/(INDEX($F$4:$L$4,0,AB$110+1)-INDEX($F$4:$L$4,0,AB$110))+AA117)))</f>
        <v>3.213843893366096</v>
      </c>
      <c r="AC117" s="228">
        <f t="shared" si="71"/>
        <v>5.4984705279413113</v>
      </c>
      <c r="AD117" s="228">
        <f t="shared" si="71"/>
        <v>5.5774911154054765</v>
      </c>
      <c r="AE117" s="228">
        <f t="shared" si="71"/>
        <v>5.6565117028696417</v>
      </c>
      <c r="AF117" s="228">
        <f t="shared" si="71"/>
        <v>5.7355322903338068</v>
      </c>
      <c r="AG117" s="228">
        <f t="shared" si="71"/>
        <v>5.814552877797972</v>
      </c>
      <c r="AH117" s="228">
        <f t="shared" si="71"/>
        <v>5.8935734652621372</v>
      </c>
      <c r="AI117" s="228">
        <f t="shared" si="71"/>
        <v>5.9725940527263024</v>
      </c>
      <c r="AJ117" s="228">
        <f t="shared" si="71"/>
        <v>6.0516146401904676</v>
      </c>
      <c r="AK117" s="228">
        <f t="shared" si="71"/>
        <v>6.1306352276546328</v>
      </c>
      <c r="AL117" s="228">
        <f t="shared" si="71"/>
        <v>6.2096558151187979</v>
      </c>
      <c r="AM117" s="228">
        <f t="shared" si="71"/>
        <v>6.2886764025829658</v>
      </c>
      <c r="AN117" s="228">
        <f t="shared" si="71"/>
        <v>6.4001285909136643</v>
      </c>
      <c r="AO117" s="228">
        <f t="shared" si="71"/>
        <v>6.5115807792443627</v>
      </c>
      <c r="AP117" s="228">
        <f t="shared" si="71"/>
        <v>6.6230329675750612</v>
      </c>
      <c r="AQ117" s="228">
        <f t="shared" si="71"/>
        <v>6.7344851559057597</v>
      </c>
      <c r="AR117" s="228">
        <f t="shared" si="71"/>
        <v>6.8459373442364582</v>
      </c>
      <c r="AS117" s="228">
        <f t="shared" si="71"/>
        <v>6.9573895325671566</v>
      </c>
      <c r="AT117" s="228">
        <f t="shared" si="71"/>
        <v>7.0688417208978551</v>
      </c>
      <c r="AU117" s="228">
        <f t="shared" si="71"/>
        <v>7.1802939092285536</v>
      </c>
      <c r="AV117" s="228">
        <f t="shared" si="71"/>
        <v>7.2917460975592521</v>
      </c>
      <c r="AW117" s="228">
        <f t="shared" si="71"/>
        <v>7.4031982858899488</v>
      </c>
      <c r="AX117" s="228">
        <f t="shared" si="71"/>
        <v>7.4031982858899488</v>
      </c>
      <c r="AY117" s="228">
        <f t="shared" si="71"/>
        <v>7.4031982858899488</v>
      </c>
    </row>
    <row r="118" spans="1:78">
      <c r="A118" s="139" t="s">
        <v>17</v>
      </c>
      <c r="B118" s="22" t="str">
        <f t="shared" si="66"/>
        <v/>
      </c>
      <c r="C118" s="23" t="str">
        <f t="shared" si="67"/>
        <v/>
      </c>
      <c r="D118" s="61" t="str">
        <f>ITEMS_TRA!C22</f>
        <v>TFHCV7</v>
      </c>
      <c r="E118" s="23" t="str">
        <f t="shared" si="68"/>
        <v/>
      </c>
      <c r="F118" s="23" t="str">
        <f t="shared" si="68"/>
        <v/>
      </c>
      <c r="G118" s="23" t="str">
        <f t="shared" si="68"/>
        <v/>
      </c>
      <c r="H118" s="23" t="str">
        <f t="shared" si="68"/>
        <v/>
      </c>
      <c r="I118" s="148" t="str">
        <f t="shared" si="69"/>
        <v/>
      </c>
      <c r="K118" s="228">
        <f>INDEX('[3]TS BYDem'!J$10:J$59,MATCH($D118,'[3]TS BYDem'!D$10:D$59,0))</f>
        <v>1.5653068685251963</v>
      </c>
      <c r="L118" s="228">
        <f t="shared" ref="L118:AY123" si="72">IF(L$110=-1,M118,IF(L$110=99,K118,IF(L$110=0,INDEX($F99:$L99,0,L$108),(INDEX($F99:$L99,0,L$110+1)-INDEX($F99:$L99,0,L$110))/(INDEX($F$4:$L$4,0,L$110+1)-INDEX($F$4:$L$4,0,L$110))+K118)))</f>
        <v>1.6102045790167996</v>
      </c>
      <c r="M118" s="228">
        <f t="shared" si="72"/>
        <v>1.6551022895084029</v>
      </c>
      <c r="N118" s="228">
        <f t="shared" si="72"/>
        <v>1.7</v>
      </c>
      <c r="O118" s="228">
        <f t="shared" si="72"/>
        <v>1.74</v>
      </c>
      <c r="P118" s="228">
        <f t="shared" si="72"/>
        <v>1.78</v>
      </c>
      <c r="Q118" s="228">
        <f t="shared" si="72"/>
        <v>1.82</v>
      </c>
      <c r="R118" s="228">
        <f t="shared" si="72"/>
        <v>1.86</v>
      </c>
      <c r="S118" s="228">
        <f t="shared" si="72"/>
        <v>1.78</v>
      </c>
      <c r="T118" s="228">
        <f t="shared" si="72"/>
        <v>1.7563356285395482</v>
      </c>
      <c r="U118" s="228">
        <f t="shared" si="72"/>
        <v>1.7326712570790963</v>
      </c>
      <c r="V118" s="228">
        <f t="shared" si="72"/>
        <v>1.7090068856186444</v>
      </c>
      <c r="W118" s="228">
        <f t="shared" si="72"/>
        <v>1.6853425141581926</v>
      </c>
      <c r="X118" s="228">
        <f t="shared" si="72"/>
        <v>1.6616781426977407</v>
      </c>
      <c r="Y118" s="228">
        <f t="shared" si="72"/>
        <v>1.6380137712372889</v>
      </c>
      <c r="Z118" s="228">
        <f t="shared" si="72"/>
        <v>1.614349399776837</v>
      </c>
      <c r="AA118" s="228">
        <f t="shared" si="72"/>
        <v>1.5906850283163851</v>
      </c>
      <c r="AB118" s="228">
        <f t="shared" si="72"/>
        <v>1.5670206568559333</v>
      </c>
      <c r="AC118" s="228">
        <f t="shared" si="72"/>
        <v>1.7090068856186442</v>
      </c>
      <c r="AD118" s="228">
        <f t="shared" si="72"/>
        <v>1.7335676661840085</v>
      </c>
      <c r="AE118" s="228">
        <f t="shared" si="72"/>
        <v>1.7581284467493727</v>
      </c>
      <c r="AF118" s="228">
        <f t="shared" si="72"/>
        <v>1.782689227314737</v>
      </c>
      <c r="AG118" s="228">
        <f t="shared" si="72"/>
        <v>1.8072500078801013</v>
      </c>
      <c r="AH118" s="228">
        <f t="shared" si="72"/>
        <v>1.8318107884454655</v>
      </c>
      <c r="AI118" s="228">
        <f t="shared" si="72"/>
        <v>1.8563715690108298</v>
      </c>
      <c r="AJ118" s="228">
        <f t="shared" si="72"/>
        <v>1.880932349576194</v>
      </c>
      <c r="AK118" s="228">
        <f t="shared" si="72"/>
        <v>1.9054931301415583</v>
      </c>
      <c r="AL118" s="228">
        <f t="shared" si="72"/>
        <v>1.9300539107069226</v>
      </c>
      <c r="AM118" s="228">
        <f t="shared" si="72"/>
        <v>1.9546146912722866</v>
      </c>
      <c r="AN118" s="228">
        <f t="shared" si="72"/>
        <v>1.9892556984953889</v>
      </c>
      <c r="AO118" s="228">
        <f t="shared" si="72"/>
        <v>2.0238967057184909</v>
      </c>
      <c r="AP118" s="228">
        <f t="shared" si="72"/>
        <v>2.0585377129415932</v>
      </c>
      <c r="AQ118" s="228">
        <f t="shared" si="72"/>
        <v>2.0931787201646954</v>
      </c>
      <c r="AR118" s="228">
        <f t="shared" si="72"/>
        <v>2.1278197273877977</v>
      </c>
      <c r="AS118" s="228">
        <f t="shared" si="72"/>
        <v>2.1624607346108999</v>
      </c>
      <c r="AT118" s="228">
        <f t="shared" si="72"/>
        <v>2.1971017418340022</v>
      </c>
      <c r="AU118" s="228">
        <f t="shared" si="72"/>
        <v>2.2317427490571045</v>
      </c>
      <c r="AV118" s="228">
        <f t="shared" si="72"/>
        <v>2.2663837562802067</v>
      </c>
      <c r="AW118" s="228">
        <f t="shared" si="72"/>
        <v>2.3010247635033085</v>
      </c>
      <c r="AX118" s="228">
        <f t="shared" si="72"/>
        <v>2.3010247635033085</v>
      </c>
      <c r="AY118" s="228">
        <f t="shared" si="72"/>
        <v>2.3010247635033085</v>
      </c>
    </row>
    <row r="119" spans="1:78">
      <c r="A119" s="139" t="s">
        <v>17</v>
      </c>
      <c r="B119" s="22" t="str">
        <f t="shared" si="66"/>
        <v/>
      </c>
      <c r="C119" s="23" t="str">
        <f t="shared" si="67"/>
        <v/>
      </c>
      <c r="D119" s="61" t="str">
        <f>ITEMS_TRA!C23</f>
        <v>TFHCV8</v>
      </c>
      <c r="E119" s="23" t="str">
        <f t="shared" si="68"/>
        <v/>
      </c>
      <c r="F119" s="23" t="str">
        <f t="shared" si="68"/>
        <v/>
      </c>
      <c r="G119" s="23" t="str">
        <f t="shared" si="68"/>
        <v/>
      </c>
      <c r="H119" s="23" t="str">
        <f t="shared" si="68"/>
        <v/>
      </c>
      <c r="I119" s="148" t="str">
        <f t="shared" si="69"/>
        <v/>
      </c>
      <c r="K119" s="228">
        <f>INDEX('[3]TS BYDem'!J$10:J$59,MATCH($D119,'[3]TS BYDem'!D$10:D$59,0))</f>
        <v>5.8486156921973939E-2</v>
      </c>
      <c r="L119" s="228">
        <f t="shared" si="72"/>
        <v>6.5622085483256903E-2</v>
      </c>
      <c r="M119" s="228">
        <f t="shared" si="72"/>
        <v>7.2758014044539868E-2</v>
      </c>
      <c r="N119" s="228">
        <f t="shared" si="72"/>
        <v>7.9893942605822804E-2</v>
      </c>
      <c r="O119" s="228">
        <f t="shared" si="72"/>
        <v>9.0970063028559395E-2</v>
      </c>
      <c r="P119" s="228">
        <f t="shared" si="72"/>
        <v>0.10204618345129599</v>
      </c>
      <c r="Q119" s="228">
        <f t="shared" si="72"/>
        <v>0.11312230387403258</v>
      </c>
      <c r="R119" s="228">
        <f t="shared" si="72"/>
        <v>0.12419842429676917</v>
      </c>
      <c r="S119" s="228">
        <f t="shared" si="72"/>
        <v>0.102046183451296</v>
      </c>
      <c r="T119" s="228">
        <f t="shared" si="72"/>
        <v>8.9315911372357781E-2</v>
      </c>
      <c r="U119" s="228">
        <f t="shared" si="72"/>
        <v>7.6585639293419563E-2</v>
      </c>
      <c r="V119" s="228">
        <f t="shared" si="72"/>
        <v>6.3855367214481346E-2</v>
      </c>
      <c r="W119" s="228">
        <f t="shared" si="72"/>
        <v>5.1125095135543135E-2</v>
      </c>
      <c r="X119" s="228">
        <f t="shared" si="72"/>
        <v>3.8394823056604924E-2</v>
      </c>
      <c r="Y119" s="228">
        <f t="shared" si="72"/>
        <v>2.5664550977666713E-2</v>
      </c>
      <c r="Z119" s="228">
        <f t="shared" si="72"/>
        <v>1.29342788987285E-2</v>
      </c>
      <c r="AA119" s="228">
        <f t="shared" si="72"/>
        <v>2.0400681979028737E-4</v>
      </c>
      <c r="AB119" s="228">
        <f t="shared" si="72"/>
        <v>-1.2526265259147925E-2</v>
      </c>
      <c r="AC119" s="228">
        <f t="shared" si="72"/>
        <v>6.3855367214481359E-2</v>
      </c>
      <c r="AD119" s="228">
        <f t="shared" si="72"/>
        <v>6.4773056707293386E-2</v>
      </c>
      <c r="AE119" s="228">
        <f t="shared" si="72"/>
        <v>6.5690746200105413E-2</v>
      </c>
      <c r="AF119" s="228">
        <f t="shared" si="72"/>
        <v>6.6608435692917439E-2</v>
      </c>
      <c r="AG119" s="228">
        <f t="shared" si="72"/>
        <v>6.7526125185729466E-2</v>
      </c>
      <c r="AH119" s="228">
        <f t="shared" si="72"/>
        <v>6.8443814678541492E-2</v>
      </c>
      <c r="AI119" s="228">
        <f t="shared" si="72"/>
        <v>6.9361504171353519E-2</v>
      </c>
      <c r="AJ119" s="228">
        <f t="shared" si="72"/>
        <v>7.0279193664165546E-2</v>
      </c>
      <c r="AK119" s="228">
        <f t="shared" si="72"/>
        <v>7.1196883156977572E-2</v>
      </c>
      <c r="AL119" s="228">
        <f t="shared" si="72"/>
        <v>7.2114572649789599E-2</v>
      </c>
      <c r="AM119" s="228">
        <f t="shared" si="72"/>
        <v>7.3032262142601598E-2</v>
      </c>
      <c r="AN119" s="228">
        <f t="shared" si="72"/>
        <v>7.4326589424442813E-2</v>
      </c>
      <c r="AO119" s="228">
        <f t="shared" si="72"/>
        <v>7.5620916706284028E-2</v>
      </c>
      <c r="AP119" s="228">
        <f t="shared" si="72"/>
        <v>7.6915243988125243E-2</v>
      </c>
      <c r="AQ119" s="228">
        <f t="shared" si="72"/>
        <v>7.8209571269966457E-2</v>
      </c>
      <c r="AR119" s="228">
        <f t="shared" si="72"/>
        <v>7.9503898551807672E-2</v>
      </c>
      <c r="AS119" s="228">
        <f t="shared" si="72"/>
        <v>8.0798225833648887E-2</v>
      </c>
      <c r="AT119" s="228">
        <f t="shared" si="72"/>
        <v>8.2092553115490102E-2</v>
      </c>
      <c r="AU119" s="228">
        <f t="shared" si="72"/>
        <v>8.3386880397331317E-2</v>
      </c>
      <c r="AV119" s="228">
        <f t="shared" si="72"/>
        <v>8.4681207679172532E-2</v>
      </c>
      <c r="AW119" s="228">
        <f t="shared" si="72"/>
        <v>8.5975534961013692E-2</v>
      </c>
      <c r="AX119" s="228">
        <f t="shared" si="72"/>
        <v>8.5975534961013692E-2</v>
      </c>
      <c r="AY119" s="228">
        <f t="shared" si="72"/>
        <v>8.5975534961013692E-2</v>
      </c>
    </row>
    <row r="120" spans="1:78">
      <c r="A120" s="139" t="s">
        <v>17</v>
      </c>
      <c r="B120" s="22" t="str">
        <f t="shared" si="66"/>
        <v/>
      </c>
      <c r="C120" s="23" t="str">
        <f t="shared" si="67"/>
        <v/>
      </c>
      <c r="D120" s="61" t="str">
        <f>ITEMS_TRA!C24</f>
        <v>TFHCV9</v>
      </c>
      <c r="E120" s="23" t="str">
        <f t="shared" si="68"/>
        <v/>
      </c>
      <c r="F120" s="23" t="str">
        <f t="shared" si="68"/>
        <v/>
      </c>
      <c r="G120" s="23" t="str">
        <f t="shared" si="68"/>
        <v/>
      </c>
      <c r="H120" s="23" t="str">
        <f t="shared" si="68"/>
        <v/>
      </c>
      <c r="I120" s="148" t="str">
        <f t="shared" si="69"/>
        <v/>
      </c>
      <c r="K120" s="228">
        <f>INDEX('[3]TS BYDem'!J$10:J$59,MATCH($D120,'[3]TS BYDem'!D$10:D$59,0))</f>
        <v>3.9969372950314989E-2</v>
      </c>
      <c r="L120" s="228">
        <f t="shared" si="72"/>
        <v>3.4102559292729893E-2</v>
      </c>
      <c r="M120" s="228">
        <f t="shared" si="72"/>
        <v>2.8235745635144794E-2</v>
      </c>
      <c r="N120" s="228">
        <f t="shared" si="72"/>
        <v>2.2368931977559604E-2</v>
      </c>
      <c r="O120" s="228">
        <f t="shared" si="72"/>
        <v>2.2519965988779801E-2</v>
      </c>
      <c r="P120" s="228">
        <f t="shared" si="72"/>
        <v>2.2670999999999997E-2</v>
      </c>
      <c r="Q120" s="228">
        <f t="shared" si="72"/>
        <v>2.2822034011220193E-2</v>
      </c>
      <c r="R120" s="228">
        <f t="shared" si="72"/>
        <v>2.2973068022440389E-2</v>
      </c>
      <c r="S120" s="228">
        <f t="shared" si="72"/>
        <v>2.2670999999999997E-2</v>
      </c>
      <c r="T120" s="228">
        <f t="shared" si="72"/>
        <v>2.9660228380617045E-2</v>
      </c>
      <c r="U120" s="228">
        <f t="shared" si="72"/>
        <v>3.6649456761234094E-2</v>
      </c>
      <c r="V120" s="228">
        <f t="shared" si="72"/>
        <v>4.3638685141851138E-2</v>
      </c>
      <c r="W120" s="228">
        <f t="shared" si="72"/>
        <v>5.0627913522468183E-2</v>
      </c>
      <c r="X120" s="228">
        <f t="shared" si="72"/>
        <v>5.7617141903085228E-2</v>
      </c>
      <c r="Y120" s="228">
        <f t="shared" si="72"/>
        <v>6.460637028370228E-2</v>
      </c>
      <c r="Z120" s="228">
        <f t="shared" si="72"/>
        <v>7.1595598664319332E-2</v>
      </c>
      <c r="AA120" s="228">
        <f t="shared" si="72"/>
        <v>7.8584827044936384E-2</v>
      </c>
      <c r="AB120" s="228">
        <f t="shared" si="72"/>
        <v>8.5574055425553436E-2</v>
      </c>
      <c r="AC120" s="228">
        <f t="shared" si="72"/>
        <v>4.3638685141851138E-2</v>
      </c>
      <c r="AD120" s="228">
        <f t="shared" si="72"/>
        <v>4.4265833094822696E-2</v>
      </c>
      <c r="AE120" s="228">
        <f t="shared" si="72"/>
        <v>4.4892981047794253E-2</v>
      </c>
      <c r="AF120" s="228">
        <f t="shared" si="72"/>
        <v>4.552012900076581E-2</v>
      </c>
      <c r="AG120" s="228">
        <f t="shared" si="72"/>
        <v>4.6147276953737368E-2</v>
      </c>
      <c r="AH120" s="228">
        <f t="shared" si="72"/>
        <v>4.6774424906708925E-2</v>
      </c>
      <c r="AI120" s="228">
        <f t="shared" si="72"/>
        <v>4.7401572859680483E-2</v>
      </c>
      <c r="AJ120" s="228">
        <f t="shared" si="72"/>
        <v>4.802872081265204E-2</v>
      </c>
      <c r="AK120" s="228">
        <f t="shared" si="72"/>
        <v>4.8655868765623597E-2</v>
      </c>
      <c r="AL120" s="228">
        <f t="shared" si="72"/>
        <v>4.9283016718595155E-2</v>
      </c>
      <c r="AM120" s="228">
        <f t="shared" si="72"/>
        <v>4.9910164671566698E-2</v>
      </c>
      <c r="AN120" s="228">
        <f t="shared" si="72"/>
        <v>5.0794706460091051E-2</v>
      </c>
      <c r="AO120" s="228">
        <f t="shared" si="72"/>
        <v>5.1679248248615403E-2</v>
      </c>
      <c r="AP120" s="228">
        <f t="shared" si="72"/>
        <v>5.2563790037139756E-2</v>
      </c>
      <c r="AQ120" s="228">
        <f t="shared" si="72"/>
        <v>5.3448331825664108E-2</v>
      </c>
      <c r="AR120" s="228">
        <f t="shared" si="72"/>
        <v>5.4332873614188461E-2</v>
      </c>
      <c r="AS120" s="228">
        <f t="shared" si="72"/>
        <v>5.5217415402712813E-2</v>
      </c>
      <c r="AT120" s="228">
        <f t="shared" si="72"/>
        <v>5.6101957191237166E-2</v>
      </c>
      <c r="AU120" s="228">
        <f t="shared" si="72"/>
        <v>5.6986498979761518E-2</v>
      </c>
      <c r="AV120" s="228">
        <f t="shared" si="72"/>
        <v>5.7871040768285871E-2</v>
      </c>
      <c r="AW120" s="228">
        <f t="shared" si="72"/>
        <v>5.8755582556810203E-2</v>
      </c>
      <c r="AX120" s="228">
        <f t="shared" si="72"/>
        <v>5.8755582556810203E-2</v>
      </c>
      <c r="AY120" s="228">
        <f t="shared" si="72"/>
        <v>5.8755582556810203E-2</v>
      </c>
    </row>
    <row r="121" spans="1:78">
      <c r="A121" s="139" t="s">
        <v>17</v>
      </c>
      <c r="B121" s="22" t="str">
        <f t="shared" si="66"/>
        <v/>
      </c>
      <c r="C121" s="23" t="str">
        <f t="shared" si="67"/>
        <v/>
      </c>
      <c r="D121" s="61" t="str">
        <f>ITEMS_TRA!C25</f>
        <v>TFRCO</v>
      </c>
      <c r="E121" s="23" t="str">
        <f t="shared" si="68"/>
        <v/>
      </c>
      <c r="F121" s="23" t="str">
        <f t="shared" si="68"/>
        <v/>
      </c>
      <c r="G121" s="23" t="str">
        <f t="shared" si="68"/>
        <v/>
      </c>
      <c r="H121" s="23" t="str">
        <f t="shared" si="68"/>
        <v/>
      </c>
      <c r="I121" s="148" t="str">
        <f t="shared" si="69"/>
        <v/>
      </c>
      <c r="K121" s="228">
        <f>INDEX('[3]TS BYDem'!J$10:J$59,MATCH($D121,'[3]TS BYDem'!D$10:D$59,0))</f>
        <v>22</v>
      </c>
      <c r="L121" s="228">
        <f t="shared" si="72"/>
        <v>22.410704476932139</v>
      </c>
      <c r="M121" s="228">
        <f t="shared" si="72"/>
        <v>22.821408953864278</v>
      </c>
      <c r="N121" s="228">
        <f t="shared" si="72"/>
        <v>23.232113430796417</v>
      </c>
      <c r="O121" s="228">
        <f t="shared" si="72"/>
        <v>23.390018838037079</v>
      </c>
      <c r="P121" s="228">
        <f t="shared" si="72"/>
        <v>23.547924245277741</v>
      </c>
      <c r="Q121" s="228">
        <f t="shared" si="72"/>
        <v>23.705829652518403</v>
      </c>
      <c r="R121" s="228">
        <f t="shared" si="72"/>
        <v>23.863735059759065</v>
      </c>
      <c r="S121" s="228">
        <f t="shared" si="72"/>
        <v>23.547924245277745</v>
      </c>
      <c r="T121" s="228">
        <f t="shared" si="72"/>
        <v>23.705172202598256</v>
      </c>
      <c r="U121" s="228">
        <f t="shared" si="72"/>
        <v>23.862420159918766</v>
      </c>
      <c r="V121" s="228">
        <f t="shared" si="72"/>
        <v>24.019668117239277</v>
      </c>
      <c r="W121" s="228">
        <f t="shared" si="72"/>
        <v>24.176916074559788</v>
      </c>
      <c r="X121" s="228">
        <f t="shared" si="72"/>
        <v>24.334164031880299</v>
      </c>
      <c r="Y121" s="228">
        <f t="shared" si="72"/>
        <v>24.49141198920081</v>
      </c>
      <c r="Z121" s="228">
        <f t="shared" si="72"/>
        <v>24.64865994652132</v>
      </c>
      <c r="AA121" s="228">
        <f t="shared" si="72"/>
        <v>24.805907903841831</v>
      </c>
      <c r="AB121" s="228">
        <f t="shared" si="72"/>
        <v>24.963155861162342</v>
      </c>
      <c r="AC121" s="228">
        <f t="shared" si="72"/>
        <v>24.019668117239277</v>
      </c>
      <c r="AD121" s="228">
        <f t="shared" si="72"/>
        <v>24.364863799506431</v>
      </c>
      <c r="AE121" s="228">
        <f t="shared" si="72"/>
        <v>24.710059481773584</v>
      </c>
      <c r="AF121" s="228">
        <f t="shared" si="72"/>
        <v>25.055255164040737</v>
      </c>
      <c r="AG121" s="228">
        <f t="shared" si="72"/>
        <v>25.400450846307891</v>
      </c>
      <c r="AH121" s="228">
        <f t="shared" si="72"/>
        <v>25.745646528575044</v>
      </c>
      <c r="AI121" s="228">
        <f t="shared" si="72"/>
        <v>26.090842210842197</v>
      </c>
      <c r="AJ121" s="228">
        <f t="shared" si="72"/>
        <v>26.436037893109351</v>
      </c>
      <c r="AK121" s="228">
        <f t="shared" si="72"/>
        <v>26.781233575376504</v>
      </c>
      <c r="AL121" s="228">
        <f t="shared" si="72"/>
        <v>27.126429257643657</v>
      </c>
      <c r="AM121" s="228">
        <f t="shared" si="72"/>
        <v>27.471624939910804</v>
      </c>
      <c r="AN121" s="228">
        <f t="shared" si="72"/>
        <v>27.95849570898006</v>
      </c>
      <c r="AO121" s="228">
        <f t="shared" si="72"/>
        <v>28.445366478049316</v>
      </c>
      <c r="AP121" s="228">
        <f t="shared" si="72"/>
        <v>28.932237247118572</v>
      </c>
      <c r="AQ121" s="228">
        <f t="shared" si="72"/>
        <v>29.419108016187828</v>
      </c>
      <c r="AR121" s="228">
        <f t="shared" si="72"/>
        <v>29.905978785257084</v>
      </c>
      <c r="AS121" s="228">
        <f t="shared" si="72"/>
        <v>30.39284955432634</v>
      </c>
      <c r="AT121" s="228">
        <f t="shared" si="72"/>
        <v>30.879720323395595</v>
      </c>
      <c r="AU121" s="228">
        <f t="shared" si="72"/>
        <v>31.366591092464851</v>
      </c>
      <c r="AV121" s="228">
        <f t="shared" si="72"/>
        <v>31.853461861534107</v>
      </c>
      <c r="AW121" s="228">
        <f t="shared" si="72"/>
        <v>32.340332630603356</v>
      </c>
      <c r="AX121" s="228">
        <f t="shared" si="72"/>
        <v>32.340332630603356</v>
      </c>
      <c r="AY121" s="228">
        <f t="shared" si="72"/>
        <v>32.340332630603356</v>
      </c>
    </row>
    <row r="122" spans="1:78">
      <c r="A122" s="139" t="s">
        <v>17</v>
      </c>
      <c r="B122" s="22" t="str">
        <f t="shared" si="66"/>
        <v/>
      </c>
      <c r="C122" s="23" t="str">
        <f t="shared" si="67"/>
        <v/>
      </c>
      <c r="D122" s="61" t="str">
        <f>ITEMS_TRA!C26</f>
        <v>TFROT</v>
      </c>
      <c r="E122" s="23" t="str">
        <f t="shared" si="68"/>
        <v/>
      </c>
      <c r="F122" s="23" t="str">
        <f t="shared" si="68"/>
        <v/>
      </c>
      <c r="G122" s="23" t="str">
        <f t="shared" si="68"/>
        <v/>
      </c>
      <c r="H122" s="23" t="str">
        <f t="shared" si="68"/>
        <v/>
      </c>
      <c r="I122" s="148" t="str">
        <f t="shared" si="69"/>
        <v/>
      </c>
      <c r="K122" s="228">
        <f>INDEX('[3]TS BYDem'!J$10:J$59,MATCH($D122,'[3]TS BYDem'!D$10:D$59,0))</f>
        <v>25.099999999999998</v>
      </c>
      <c r="L122" s="228">
        <f t="shared" si="72"/>
        <v>25.568576471408942</v>
      </c>
      <c r="M122" s="228">
        <f t="shared" si="72"/>
        <v>26.037152942817887</v>
      </c>
      <c r="N122" s="228">
        <f t="shared" si="72"/>
        <v>26.505729414226828</v>
      </c>
      <c r="O122" s="228">
        <f t="shared" si="72"/>
        <v>26.685885128851403</v>
      </c>
      <c r="P122" s="228">
        <f t="shared" si="72"/>
        <v>26.866040843475979</v>
      </c>
      <c r="Q122" s="228">
        <f t="shared" si="72"/>
        <v>27.046196558100554</v>
      </c>
      <c r="R122" s="228">
        <f t="shared" si="72"/>
        <v>27.22635227272513</v>
      </c>
      <c r="S122" s="228">
        <f t="shared" si="72"/>
        <v>26.866040843475982</v>
      </c>
      <c r="T122" s="228">
        <f t="shared" si="72"/>
        <v>27.045446467509837</v>
      </c>
      <c r="U122" s="228">
        <f t="shared" si="72"/>
        <v>27.224852091543692</v>
      </c>
      <c r="V122" s="228">
        <f t="shared" si="72"/>
        <v>27.404257715577547</v>
      </c>
      <c r="W122" s="228">
        <f t="shared" si="72"/>
        <v>27.583663339611402</v>
      </c>
      <c r="X122" s="228">
        <f t="shared" si="72"/>
        <v>27.763068963645257</v>
      </c>
      <c r="Y122" s="228">
        <f t="shared" si="72"/>
        <v>27.942474587679111</v>
      </c>
      <c r="Z122" s="228">
        <f t="shared" si="72"/>
        <v>28.121880211712966</v>
      </c>
      <c r="AA122" s="228">
        <f t="shared" si="72"/>
        <v>28.301285835746821</v>
      </c>
      <c r="AB122" s="228">
        <f t="shared" si="72"/>
        <v>28.480691459780676</v>
      </c>
      <c r="AC122" s="228">
        <f t="shared" si="72"/>
        <v>27.404257715577543</v>
      </c>
      <c r="AD122" s="228">
        <f t="shared" si="72"/>
        <v>27.798094607618705</v>
      </c>
      <c r="AE122" s="228">
        <f t="shared" si="72"/>
        <v>28.191931499659866</v>
      </c>
      <c r="AF122" s="228">
        <f t="shared" si="72"/>
        <v>28.585768391701027</v>
      </c>
      <c r="AG122" s="228">
        <f t="shared" si="72"/>
        <v>28.979605283742188</v>
      </c>
      <c r="AH122" s="228">
        <f t="shared" si="72"/>
        <v>29.373442175783349</v>
      </c>
      <c r="AI122" s="228">
        <f t="shared" si="72"/>
        <v>29.767279067824511</v>
      </c>
      <c r="AJ122" s="228">
        <f t="shared" si="72"/>
        <v>30.161115959865672</v>
      </c>
      <c r="AK122" s="228">
        <f t="shared" si="72"/>
        <v>30.554952851906833</v>
      </c>
      <c r="AL122" s="228">
        <f t="shared" si="72"/>
        <v>30.948789743947994</v>
      </c>
      <c r="AM122" s="228">
        <f t="shared" si="72"/>
        <v>31.342626635989149</v>
      </c>
      <c r="AN122" s="228">
        <f t="shared" si="72"/>
        <v>31.898101922518162</v>
      </c>
      <c r="AO122" s="228">
        <f t="shared" si="72"/>
        <v>32.453577209047175</v>
      </c>
      <c r="AP122" s="228">
        <f t="shared" si="72"/>
        <v>33.009052495576192</v>
      </c>
      <c r="AQ122" s="228">
        <f t="shared" si="72"/>
        <v>33.564527782105209</v>
      </c>
      <c r="AR122" s="228">
        <f t="shared" si="72"/>
        <v>34.120003068634226</v>
      </c>
      <c r="AS122" s="228">
        <f t="shared" si="72"/>
        <v>34.675478355163243</v>
      </c>
      <c r="AT122" s="228">
        <f t="shared" si="72"/>
        <v>35.23095364169226</v>
      </c>
      <c r="AU122" s="228">
        <f t="shared" si="72"/>
        <v>35.786428928221277</v>
      </c>
      <c r="AV122" s="228">
        <f t="shared" si="72"/>
        <v>36.341904214750294</v>
      </c>
      <c r="AW122" s="228">
        <f t="shared" si="72"/>
        <v>36.897379501279289</v>
      </c>
      <c r="AX122" s="228">
        <f t="shared" si="72"/>
        <v>36.897379501279289</v>
      </c>
      <c r="AY122" s="228">
        <f t="shared" si="72"/>
        <v>36.897379501279289</v>
      </c>
    </row>
    <row r="123" spans="1:78">
      <c r="A123" s="139" t="s">
        <v>17</v>
      </c>
      <c r="B123" s="22" t="str">
        <f t="shared" si="66"/>
        <v/>
      </c>
      <c r="C123" s="149" t="str">
        <f t="shared" si="67"/>
        <v/>
      </c>
      <c r="D123" s="61" t="str">
        <f>ITEMS_TRA!C27</f>
        <v>TFREX</v>
      </c>
      <c r="E123" s="149" t="str">
        <f t="shared" si="68"/>
        <v/>
      </c>
      <c r="F123" s="149" t="str">
        <f t="shared" si="68"/>
        <v/>
      </c>
      <c r="G123" s="149" t="str">
        <f t="shared" si="68"/>
        <v/>
      </c>
      <c r="H123" s="149" t="str">
        <f t="shared" si="68"/>
        <v/>
      </c>
      <c r="I123" s="150" t="str">
        <f t="shared" si="69"/>
        <v/>
      </c>
      <c r="K123" s="228">
        <f>INDEX('[3]TS BYDem'!J$10:J$59,MATCH($D123,'[3]TS BYDem'!D$10:D$59,0))</f>
        <v>82</v>
      </c>
      <c r="L123" s="228">
        <f t="shared" si="72"/>
        <v>82</v>
      </c>
      <c r="M123" s="228">
        <f t="shared" si="72"/>
        <v>82</v>
      </c>
      <c r="N123" s="228">
        <f t="shared" si="72"/>
        <v>82</v>
      </c>
      <c r="O123" s="228">
        <f t="shared" si="72"/>
        <v>82</v>
      </c>
      <c r="P123" s="228">
        <f t="shared" si="72"/>
        <v>82</v>
      </c>
      <c r="Q123" s="228">
        <f t="shared" si="72"/>
        <v>82</v>
      </c>
      <c r="R123" s="228">
        <f t="shared" si="72"/>
        <v>82</v>
      </c>
      <c r="S123" s="228">
        <f t="shared" si="72"/>
        <v>82</v>
      </c>
      <c r="T123" s="228">
        <f t="shared" si="72"/>
        <v>82.025471944098541</v>
      </c>
      <c r="U123" s="228">
        <f t="shared" si="72"/>
        <v>82.050943888197082</v>
      </c>
      <c r="V123" s="228">
        <f t="shared" si="72"/>
        <v>82.076415832295623</v>
      </c>
      <c r="W123" s="228">
        <f t="shared" si="72"/>
        <v>82.101887776394165</v>
      </c>
      <c r="X123" s="228">
        <f t="shared" si="72"/>
        <v>82.127359720492706</v>
      </c>
      <c r="Y123" s="228">
        <f t="shared" si="72"/>
        <v>82.152831664591247</v>
      </c>
      <c r="Z123" s="228">
        <f t="shared" si="72"/>
        <v>82.178303608689788</v>
      </c>
      <c r="AA123" s="228">
        <f t="shared" si="72"/>
        <v>82.203775552788329</v>
      </c>
      <c r="AB123" s="228">
        <f t="shared" si="72"/>
        <v>82.22924749688687</v>
      </c>
      <c r="AC123" s="228">
        <f t="shared" si="72"/>
        <v>82.076415832295638</v>
      </c>
      <c r="AD123" s="228">
        <f t="shared" si="72"/>
        <v>83.126860111102957</v>
      </c>
      <c r="AE123" s="228">
        <f t="shared" si="72"/>
        <v>84.177304389910276</v>
      </c>
      <c r="AF123" s="228">
        <f t="shared" si="72"/>
        <v>85.227748668717595</v>
      </c>
      <c r="AG123" s="228">
        <f t="shared" si="72"/>
        <v>86.278192947524914</v>
      </c>
      <c r="AH123" s="228">
        <f t="shared" si="72"/>
        <v>87.328637226332233</v>
      </c>
      <c r="AI123" s="228">
        <f t="shared" si="72"/>
        <v>88.379081505139553</v>
      </c>
      <c r="AJ123" s="228">
        <f t="shared" si="72"/>
        <v>89.429525783946872</v>
      </c>
      <c r="AK123" s="228">
        <f t="shared" si="72"/>
        <v>90.479970062754191</v>
      </c>
      <c r="AL123" s="228">
        <f t="shared" si="72"/>
        <v>91.53041434156151</v>
      </c>
      <c r="AM123" s="228">
        <f t="shared" si="72"/>
        <v>92.580858620368858</v>
      </c>
      <c r="AN123" s="228">
        <f t="shared" si="72"/>
        <v>94.224232899128339</v>
      </c>
      <c r="AO123" s="228">
        <f t="shared" si="72"/>
        <v>95.86760717788782</v>
      </c>
      <c r="AP123" s="228">
        <f t="shared" si="72"/>
        <v>97.510981456647301</v>
      </c>
      <c r="AQ123" s="228">
        <f t="shared" si="72"/>
        <v>99.154355735406781</v>
      </c>
      <c r="AR123" s="228">
        <f t="shared" si="72"/>
        <v>100.79773001416626</v>
      </c>
      <c r="AS123" s="228">
        <f t="shared" si="72"/>
        <v>102.44110429292574</v>
      </c>
      <c r="AT123" s="228">
        <f t="shared" si="72"/>
        <v>104.08447857168522</v>
      </c>
      <c r="AU123" s="228">
        <f t="shared" si="72"/>
        <v>105.72785285044471</v>
      </c>
      <c r="AV123" s="228">
        <f t="shared" si="72"/>
        <v>107.37122712920419</v>
      </c>
      <c r="AW123" s="228">
        <f t="shared" si="72"/>
        <v>109.01460140796371</v>
      </c>
      <c r="AX123" s="228">
        <f t="shared" si="72"/>
        <v>109.01460140796371</v>
      </c>
      <c r="AY123" s="228">
        <f t="shared" si="72"/>
        <v>109.01460140796371</v>
      </c>
    </row>
    <row r="124" spans="1:78">
      <c r="A124" s="139" t="s">
        <v>17</v>
      </c>
      <c r="B124" s="228"/>
      <c r="C124" s="228"/>
      <c r="F124" s="281"/>
      <c r="G124" s="10"/>
      <c r="H124" s="10"/>
      <c r="I124" s="10"/>
      <c r="J124" s="10"/>
      <c r="K124" s="10"/>
      <c r="L124" s="10"/>
      <c r="N124" s="10"/>
    </row>
    <row r="125" spans="1:78">
      <c r="B125" s="228"/>
      <c r="C125" s="228"/>
      <c r="F125" s="281"/>
      <c r="G125" s="10"/>
      <c r="H125" s="10"/>
      <c r="I125" s="10"/>
      <c r="J125" s="10"/>
      <c r="K125" s="10"/>
      <c r="L125" s="10"/>
      <c r="N125" s="10"/>
    </row>
    <row r="126" spans="1:78">
      <c r="A126" s="227" t="s">
        <v>17</v>
      </c>
      <c r="B126" s="228"/>
      <c r="C126" s="228"/>
      <c r="F126" s="284"/>
      <c r="G126" s="10"/>
      <c r="H126" s="10"/>
      <c r="I126" s="10"/>
      <c r="J126" s="10"/>
      <c r="K126" s="10"/>
      <c r="L126" s="10"/>
      <c r="N126" s="10"/>
    </row>
    <row r="127" spans="1:78" ht="21.6">
      <c r="A127" s="137" t="s">
        <v>17</v>
      </c>
      <c r="B127" s="141" t="s">
        <v>19</v>
      </c>
      <c r="C127" s="141" t="s">
        <v>20</v>
      </c>
      <c r="D127" s="141" t="s">
        <v>21</v>
      </c>
      <c r="E127" s="141" t="s">
        <v>22</v>
      </c>
      <c r="F127" s="141" t="s">
        <v>23</v>
      </c>
      <c r="G127" s="141" t="s">
        <v>24</v>
      </c>
      <c r="H127" s="141" t="s">
        <v>25</v>
      </c>
      <c r="I127" s="142" t="s">
        <v>26</v>
      </c>
      <c r="J127" s="227">
        <v>2012</v>
      </c>
      <c r="K127" s="227">
        <v>2013</v>
      </c>
      <c r="L127" s="227">
        <v>2014</v>
      </c>
      <c r="M127" s="227">
        <v>2015</v>
      </c>
      <c r="N127" s="227">
        <v>2016</v>
      </c>
      <c r="O127" s="227">
        <v>2017</v>
      </c>
      <c r="P127" s="227">
        <v>2018</v>
      </c>
      <c r="Q127" s="227">
        <v>2019</v>
      </c>
      <c r="R127" s="227">
        <v>2020</v>
      </c>
      <c r="S127" s="227">
        <v>2021</v>
      </c>
      <c r="T127" s="227">
        <v>2022</v>
      </c>
      <c r="U127" s="227">
        <v>2023</v>
      </c>
      <c r="V127" s="227">
        <v>2024</v>
      </c>
      <c r="W127" s="227">
        <v>2025</v>
      </c>
      <c r="X127" s="227">
        <v>2026</v>
      </c>
      <c r="Y127" s="227">
        <v>2027</v>
      </c>
      <c r="Z127" s="227">
        <v>2028</v>
      </c>
      <c r="AA127" s="227">
        <v>2029</v>
      </c>
      <c r="AB127" s="227">
        <v>2030</v>
      </c>
      <c r="AC127" s="227">
        <v>2031</v>
      </c>
      <c r="AD127" s="227">
        <v>2032</v>
      </c>
      <c r="AE127" s="227">
        <v>2033</v>
      </c>
      <c r="AF127" s="227">
        <v>2034</v>
      </c>
      <c r="AG127" s="227">
        <v>2035</v>
      </c>
      <c r="AH127" s="227">
        <v>2036</v>
      </c>
      <c r="AI127" s="227">
        <v>2037</v>
      </c>
      <c r="AJ127" s="227">
        <v>2038</v>
      </c>
      <c r="AK127" s="227">
        <v>2039</v>
      </c>
      <c r="AL127" s="227">
        <v>2040</v>
      </c>
      <c r="AM127" s="227">
        <v>2045</v>
      </c>
      <c r="AN127" s="227">
        <v>2050</v>
      </c>
      <c r="AO127" s="227">
        <v>2060</v>
      </c>
      <c r="AP127" s="227">
        <v>2070</v>
      </c>
    </row>
    <row r="128" spans="1:78" s="233" customFormat="1">
      <c r="A128" s="137" t="s">
        <v>17</v>
      </c>
      <c r="B128" s="233" t="s">
        <v>404</v>
      </c>
      <c r="C128" s="233">
        <v>1</v>
      </c>
      <c r="D128" s="233">
        <v>2012</v>
      </c>
      <c r="E128" s="233">
        <v>2015</v>
      </c>
      <c r="F128" s="233">
        <v>2020</v>
      </c>
      <c r="G128" s="233">
        <v>2030</v>
      </c>
      <c r="H128" s="233">
        <v>2040</v>
      </c>
      <c r="I128" s="283">
        <v>2050</v>
      </c>
      <c r="J128" s="233">
        <f t="shared" ref="J128:Y129" si="73">MATCH(J$127,$D$128:$I$128,$C128)</f>
        <v>1</v>
      </c>
      <c r="K128" s="233">
        <f t="shared" si="73"/>
        <v>1</v>
      </c>
      <c r="L128" s="233">
        <f t="shared" si="73"/>
        <v>1</v>
      </c>
      <c r="M128" s="233">
        <f t="shared" si="73"/>
        <v>2</v>
      </c>
      <c r="N128" s="233">
        <f t="shared" si="73"/>
        <v>2</v>
      </c>
      <c r="O128" s="233">
        <f t="shared" si="73"/>
        <v>2</v>
      </c>
      <c r="P128" s="233">
        <f t="shared" si="73"/>
        <v>2</v>
      </c>
      <c r="Q128" s="233">
        <f t="shared" si="73"/>
        <v>2</v>
      </c>
      <c r="R128" s="233">
        <f t="shared" si="73"/>
        <v>3</v>
      </c>
      <c r="S128" s="233">
        <f t="shared" si="73"/>
        <v>3</v>
      </c>
      <c r="T128" s="233">
        <f t="shared" si="73"/>
        <v>3</v>
      </c>
      <c r="U128" s="233">
        <f t="shared" si="73"/>
        <v>3</v>
      </c>
      <c r="V128" s="233">
        <f t="shared" si="73"/>
        <v>3</v>
      </c>
      <c r="W128" s="233">
        <f t="shared" si="73"/>
        <v>3</v>
      </c>
      <c r="X128" s="233">
        <f t="shared" si="73"/>
        <v>3</v>
      </c>
      <c r="Y128" s="233">
        <f t="shared" si="73"/>
        <v>3</v>
      </c>
      <c r="Z128" s="233">
        <f t="shared" ref="Z128:AO129" si="74">MATCH(Z$127,$D$128:$I$128,$C128)</f>
        <v>3</v>
      </c>
      <c r="AA128" s="233">
        <f t="shared" si="74"/>
        <v>3</v>
      </c>
      <c r="AB128" s="233">
        <f t="shared" si="74"/>
        <v>4</v>
      </c>
      <c r="AC128" s="233">
        <f t="shared" si="74"/>
        <v>4</v>
      </c>
      <c r="AD128" s="233">
        <f t="shared" si="74"/>
        <v>4</v>
      </c>
      <c r="AE128" s="233">
        <f t="shared" si="74"/>
        <v>4</v>
      </c>
      <c r="AF128" s="233">
        <f t="shared" si="74"/>
        <v>4</v>
      </c>
      <c r="AG128" s="233">
        <f t="shared" si="74"/>
        <v>4</v>
      </c>
      <c r="AH128" s="233">
        <f t="shared" si="74"/>
        <v>4</v>
      </c>
      <c r="AI128" s="233">
        <f t="shared" si="74"/>
        <v>4</v>
      </c>
      <c r="AJ128" s="233">
        <f t="shared" si="74"/>
        <v>4</v>
      </c>
      <c r="AK128" s="233">
        <f t="shared" si="74"/>
        <v>4</v>
      </c>
      <c r="AL128" s="233">
        <f t="shared" si="74"/>
        <v>5</v>
      </c>
      <c r="AM128" s="233">
        <f t="shared" si="74"/>
        <v>5</v>
      </c>
      <c r="AN128" s="233">
        <f t="shared" si="74"/>
        <v>6</v>
      </c>
      <c r="AO128" s="233">
        <f t="shared" si="74"/>
        <v>6</v>
      </c>
      <c r="AP128" s="233">
        <f t="shared" ref="AP128:AP129" si="75">MATCH(AP$127,$D$128:$I$128,$C128)</f>
        <v>6</v>
      </c>
      <c r="AR128" s="227"/>
      <c r="AS128" s="227"/>
      <c r="AT128" s="227"/>
      <c r="AU128" s="227"/>
      <c r="AV128" s="227"/>
      <c r="AW128" s="227"/>
      <c r="AX128" s="227"/>
      <c r="AY128" s="227"/>
      <c r="AZ128" s="227"/>
      <c r="BA128" s="227"/>
      <c r="BB128" s="227"/>
      <c r="BC128" s="227"/>
      <c r="BD128" s="227"/>
      <c r="BE128" s="227"/>
      <c r="BF128" s="227"/>
      <c r="BG128" s="227"/>
      <c r="BH128" s="227"/>
      <c r="BI128" s="227"/>
      <c r="BJ128" s="227"/>
      <c r="BK128" s="227"/>
      <c r="BL128" s="227"/>
      <c r="BM128" s="227"/>
      <c r="BN128" s="227"/>
      <c r="BO128" s="227"/>
      <c r="BP128" s="227"/>
      <c r="BQ128" s="227"/>
      <c r="BR128" s="227"/>
      <c r="BS128" s="227"/>
      <c r="BT128" s="227"/>
      <c r="BU128" s="227"/>
      <c r="BV128" s="227"/>
      <c r="BW128" s="227"/>
      <c r="BX128" s="227"/>
      <c r="BY128" s="227"/>
      <c r="BZ128" s="227"/>
    </row>
    <row r="129" spans="1:78">
      <c r="A129" s="41" t="s">
        <v>17</v>
      </c>
      <c r="B129" s="227" t="s">
        <v>405</v>
      </c>
      <c r="C129" s="227">
        <v>0</v>
      </c>
      <c r="D129" s="227">
        <f>INDEX($D128:$I128,0,COUNT($D128:$I128)-D130)</f>
        <v>2050</v>
      </c>
      <c r="E129" s="227">
        <f>INDEX($D128:$I128,0,COUNT($D128:$I128)-E130)</f>
        <v>2040</v>
      </c>
      <c r="F129" s="227">
        <f>INDEX($D128:$I128,0,COUNT($D128:$I128)-F130)</f>
        <v>2030</v>
      </c>
      <c r="G129" s="227">
        <f>INDEX($D128:$I128,0,COUNT($D128:$I128)-G130)</f>
        <v>2020</v>
      </c>
      <c r="H129" s="227">
        <f>INDEX($D128:$I128,0,COUNT($D128:$I128)-H130)</f>
        <v>2015</v>
      </c>
      <c r="I129" s="144">
        <v>2012</v>
      </c>
      <c r="J129" s="41">
        <f t="shared" si="73"/>
        <v>1</v>
      </c>
      <c r="K129" s="227" t="e">
        <f t="shared" si="73"/>
        <v>#N/A</v>
      </c>
      <c r="L129" s="227" t="e">
        <f t="shared" si="73"/>
        <v>#N/A</v>
      </c>
      <c r="M129" s="227">
        <f t="shared" si="73"/>
        <v>2</v>
      </c>
      <c r="N129" s="227" t="e">
        <f t="shared" si="73"/>
        <v>#N/A</v>
      </c>
      <c r="O129" s="227" t="e">
        <f t="shared" si="73"/>
        <v>#N/A</v>
      </c>
      <c r="P129" s="227" t="e">
        <f t="shared" si="73"/>
        <v>#N/A</v>
      </c>
      <c r="Q129" s="227" t="e">
        <f t="shared" si="73"/>
        <v>#N/A</v>
      </c>
      <c r="R129" s="227">
        <f t="shared" si="73"/>
        <v>3</v>
      </c>
      <c r="S129" s="227" t="e">
        <f t="shared" si="73"/>
        <v>#N/A</v>
      </c>
      <c r="T129" s="227" t="e">
        <f t="shared" si="73"/>
        <v>#N/A</v>
      </c>
      <c r="U129" s="227" t="e">
        <f t="shared" si="73"/>
        <v>#N/A</v>
      </c>
      <c r="V129" s="227" t="e">
        <f t="shared" si="73"/>
        <v>#N/A</v>
      </c>
      <c r="W129" s="227" t="e">
        <f t="shared" si="73"/>
        <v>#N/A</v>
      </c>
      <c r="X129" s="227" t="e">
        <f t="shared" si="73"/>
        <v>#N/A</v>
      </c>
      <c r="Y129" s="227" t="e">
        <f t="shared" si="73"/>
        <v>#N/A</v>
      </c>
      <c r="Z129" s="227" t="e">
        <f t="shared" si="74"/>
        <v>#N/A</v>
      </c>
      <c r="AA129" s="227" t="e">
        <f t="shared" si="74"/>
        <v>#N/A</v>
      </c>
      <c r="AB129" s="227">
        <f t="shared" si="74"/>
        <v>4</v>
      </c>
      <c r="AC129" s="227" t="e">
        <f t="shared" si="74"/>
        <v>#N/A</v>
      </c>
      <c r="AD129" s="227" t="e">
        <f t="shared" si="74"/>
        <v>#N/A</v>
      </c>
      <c r="AE129" s="227" t="e">
        <f t="shared" si="74"/>
        <v>#N/A</v>
      </c>
      <c r="AF129" s="227" t="e">
        <f t="shared" si="74"/>
        <v>#N/A</v>
      </c>
      <c r="AG129" s="227" t="e">
        <f t="shared" si="74"/>
        <v>#N/A</v>
      </c>
      <c r="AH129" s="227" t="e">
        <f t="shared" si="74"/>
        <v>#N/A</v>
      </c>
      <c r="AI129" s="227" t="e">
        <f t="shared" si="74"/>
        <v>#N/A</v>
      </c>
      <c r="AJ129" s="227" t="e">
        <f t="shared" si="74"/>
        <v>#N/A</v>
      </c>
      <c r="AK129" s="227" t="e">
        <f t="shared" si="74"/>
        <v>#N/A</v>
      </c>
      <c r="AL129" s="227">
        <f t="shared" si="74"/>
        <v>5</v>
      </c>
      <c r="AM129" s="227" t="e">
        <f t="shared" si="74"/>
        <v>#N/A</v>
      </c>
      <c r="AN129" s="227">
        <f t="shared" si="74"/>
        <v>6</v>
      </c>
      <c r="AO129" s="227" t="e">
        <f t="shared" si="74"/>
        <v>#N/A</v>
      </c>
      <c r="AP129" s="227" t="e">
        <f t="shared" si="75"/>
        <v>#N/A</v>
      </c>
    </row>
    <row r="130" spans="1:78">
      <c r="A130" s="41" t="s">
        <v>17</v>
      </c>
      <c r="B130" s="227" t="s">
        <v>403</v>
      </c>
      <c r="C130" s="227">
        <v>-1</v>
      </c>
      <c r="D130" s="227">
        <v>0</v>
      </c>
      <c r="E130" s="227">
        <v>1</v>
      </c>
      <c r="F130" s="227">
        <v>2</v>
      </c>
      <c r="G130" s="227">
        <v>3</v>
      </c>
      <c r="H130" s="227">
        <v>4</v>
      </c>
      <c r="I130" s="227">
        <v>5</v>
      </c>
      <c r="J130" s="41">
        <f t="shared" ref="J130:AP130" si="76">MATCH(J$127,$D$129:$I$129,$C130)</f>
        <v>6</v>
      </c>
      <c r="K130" s="227">
        <f t="shared" si="76"/>
        <v>5</v>
      </c>
      <c r="L130" s="227">
        <f t="shared" si="76"/>
        <v>5</v>
      </c>
      <c r="M130" s="227">
        <f t="shared" si="76"/>
        <v>5</v>
      </c>
      <c r="N130" s="227">
        <f t="shared" si="76"/>
        <v>4</v>
      </c>
      <c r="O130" s="227">
        <f t="shared" si="76"/>
        <v>4</v>
      </c>
      <c r="P130" s="227">
        <f t="shared" si="76"/>
        <v>4</v>
      </c>
      <c r="Q130" s="227">
        <f t="shared" si="76"/>
        <v>4</v>
      </c>
      <c r="R130" s="227">
        <f t="shared" si="76"/>
        <v>4</v>
      </c>
      <c r="S130" s="227">
        <f t="shared" si="76"/>
        <v>3</v>
      </c>
      <c r="T130" s="227">
        <f t="shared" si="76"/>
        <v>3</v>
      </c>
      <c r="U130" s="227">
        <f t="shared" si="76"/>
        <v>3</v>
      </c>
      <c r="V130" s="227">
        <f t="shared" si="76"/>
        <v>3</v>
      </c>
      <c r="W130" s="227">
        <f t="shared" si="76"/>
        <v>3</v>
      </c>
      <c r="X130" s="227">
        <f t="shared" si="76"/>
        <v>3</v>
      </c>
      <c r="Y130" s="227">
        <f t="shared" si="76"/>
        <v>3</v>
      </c>
      <c r="Z130" s="227">
        <f t="shared" si="76"/>
        <v>3</v>
      </c>
      <c r="AA130" s="227">
        <f t="shared" si="76"/>
        <v>3</v>
      </c>
      <c r="AB130" s="227">
        <f t="shared" si="76"/>
        <v>3</v>
      </c>
      <c r="AC130" s="227">
        <f t="shared" si="76"/>
        <v>2</v>
      </c>
      <c r="AD130" s="227">
        <f t="shared" si="76"/>
        <v>2</v>
      </c>
      <c r="AE130" s="227">
        <f t="shared" si="76"/>
        <v>2</v>
      </c>
      <c r="AF130" s="227">
        <f t="shared" si="76"/>
        <v>2</v>
      </c>
      <c r="AG130" s="227">
        <f t="shared" si="76"/>
        <v>2</v>
      </c>
      <c r="AH130" s="227">
        <f t="shared" si="76"/>
        <v>2</v>
      </c>
      <c r="AI130" s="227">
        <f t="shared" si="76"/>
        <v>2</v>
      </c>
      <c r="AJ130" s="227">
        <f t="shared" si="76"/>
        <v>2</v>
      </c>
      <c r="AK130" s="227">
        <f t="shared" si="76"/>
        <v>2</v>
      </c>
      <c r="AL130" s="227">
        <f t="shared" si="76"/>
        <v>2</v>
      </c>
      <c r="AM130" s="227">
        <f t="shared" si="76"/>
        <v>1</v>
      </c>
      <c r="AN130" s="227">
        <f t="shared" si="76"/>
        <v>1</v>
      </c>
      <c r="AO130" s="227" t="e">
        <f t="shared" si="76"/>
        <v>#N/A</v>
      </c>
      <c r="AP130" s="227" t="e">
        <f t="shared" si="76"/>
        <v>#N/A</v>
      </c>
    </row>
    <row r="131" spans="1:78" s="140" customFormat="1">
      <c r="A131" s="139" t="s">
        <v>17</v>
      </c>
      <c r="B131" s="140" t="s">
        <v>406</v>
      </c>
      <c r="I131" s="145"/>
      <c r="J131" s="231">
        <f t="shared" ref="J131:AP131" si="77">IF(ISNA(J128),-1,IF(ISNA(J130),99,IF(ISNA(J129),J128,0)))</f>
        <v>0</v>
      </c>
      <c r="K131" s="231">
        <f t="shared" si="77"/>
        <v>1</v>
      </c>
      <c r="L131" s="231">
        <f t="shared" si="77"/>
        <v>1</v>
      </c>
      <c r="M131" s="231">
        <f t="shared" si="77"/>
        <v>0</v>
      </c>
      <c r="N131" s="231">
        <f t="shared" si="77"/>
        <v>2</v>
      </c>
      <c r="O131" s="231">
        <f t="shared" si="77"/>
        <v>2</v>
      </c>
      <c r="P131" s="231">
        <f t="shared" si="77"/>
        <v>2</v>
      </c>
      <c r="Q131" s="231">
        <f t="shared" si="77"/>
        <v>2</v>
      </c>
      <c r="R131" s="231">
        <f t="shared" si="77"/>
        <v>0</v>
      </c>
      <c r="S131" s="231">
        <f t="shared" si="77"/>
        <v>3</v>
      </c>
      <c r="T131" s="231">
        <f t="shared" si="77"/>
        <v>3</v>
      </c>
      <c r="U131" s="231">
        <f t="shared" si="77"/>
        <v>3</v>
      </c>
      <c r="V131" s="231">
        <f t="shared" si="77"/>
        <v>3</v>
      </c>
      <c r="W131" s="231">
        <f t="shared" si="77"/>
        <v>3</v>
      </c>
      <c r="X131" s="231">
        <f t="shared" si="77"/>
        <v>3</v>
      </c>
      <c r="Y131" s="231">
        <f t="shared" si="77"/>
        <v>3</v>
      </c>
      <c r="Z131" s="231">
        <f t="shared" si="77"/>
        <v>3</v>
      </c>
      <c r="AA131" s="231">
        <f t="shared" si="77"/>
        <v>3</v>
      </c>
      <c r="AB131" s="231">
        <f t="shared" si="77"/>
        <v>0</v>
      </c>
      <c r="AC131" s="231">
        <f t="shared" si="77"/>
        <v>4</v>
      </c>
      <c r="AD131" s="231">
        <f t="shared" si="77"/>
        <v>4</v>
      </c>
      <c r="AE131" s="231">
        <f t="shared" si="77"/>
        <v>4</v>
      </c>
      <c r="AF131" s="231">
        <f t="shared" si="77"/>
        <v>4</v>
      </c>
      <c r="AG131" s="231">
        <f t="shared" si="77"/>
        <v>4</v>
      </c>
      <c r="AH131" s="231">
        <f t="shared" si="77"/>
        <v>4</v>
      </c>
      <c r="AI131" s="231">
        <f t="shared" si="77"/>
        <v>4</v>
      </c>
      <c r="AJ131" s="231">
        <f t="shared" si="77"/>
        <v>4</v>
      </c>
      <c r="AK131" s="231">
        <f t="shared" si="77"/>
        <v>4</v>
      </c>
      <c r="AL131" s="231">
        <f t="shared" si="77"/>
        <v>0</v>
      </c>
      <c r="AM131" s="231">
        <f t="shared" si="77"/>
        <v>5</v>
      </c>
      <c r="AN131" s="231">
        <f t="shared" si="77"/>
        <v>0</v>
      </c>
      <c r="AO131" s="231">
        <f t="shared" si="77"/>
        <v>99</v>
      </c>
      <c r="AP131" s="231">
        <f t="shared" si="77"/>
        <v>99</v>
      </c>
      <c r="AR131" s="227"/>
      <c r="AS131" s="227"/>
      <c r="AT131" s="227"/>
      <c r="AU131" s="227"/>
      <c r="AV131" s="227"/>
      <c r="AW131" s="227"/>
      <c r="AX131" s="227"/>
      <c r="AY131" s="227"/>
      <c r="AZ131" s="227"/>
      <c r="BA131" s="227"/>
      <c r="BB131" s="227"/>
      <c r="BC131" s="227"/>
      <c r="BD131" s="227"/>
      <c r="BE131" s="227"/>
      <c r="BF131" s="227"/>
      <c r="BG131" s="227"/>
      <c r="BH131" s="227"/>
      <c r="BI131" s="227"/>
      <c r="BJ131" s="227"/>
      <c r="BK131" s="227"/>
      <c r="BL131" s="227"/>
      <c r="BM131" s="227"/>
      <c r="BN131" s="227"/>
      <c r="BO131" s="227"/>
      <c r="BP131" s="227"/>
      <c r="BQ131" s="227"/>
      <c r="BR131" s="227"/>
      <c r="BS131" s="227"/>
      <c r="BT131" s="227"/>
      <c r="BU131" s="227"/>
      <c r="BV131" s="227"/>
      <c r="BW131" s="227"/>
      <c r="BX131" s="227"/>
      <c r="BY131" s="227"/>
      <c r="BZ131" s="227"/>
    </row>
    <row r="132" spans="1:78">
      <c r="A132" s="41" t="s">
        <v>126</v>
      </c>
      <c r="B132" s="22" t="str">
        <f t="shared" ref="B132:B144" si="78">IF(A132="*","","COM_PROJ")</f>
        <v>COM_PROJ</v>
      </c>
      <c r="C132" s="23" t="str">
        <f t="shared" ref="C132:C144" si="79">IF($A132="*","","-")</f>
        <v>-</v>
      </c>
      <c r="D132" s="61" t="str">
        <f>ITEMS_TRA!C15</f>
        <v>TFLCV</v>
      </c>
      <c r="E132" s="23" t="str">
        <f t="shared" ref="E132:H144" si="80">IF($A132="*","","-")</f>
        <v>-</v>
      </c>
      <c r="F132" s="23" t="str">
        <f t="shared" si="80"/>
        <v>-</v>
      </c>
      <c r="G132" s="23" t="str">
        <f t="shared" si="80"/>
        <v>-</v>
      </c>
      <c r="H132" s="23" t="str">
        <f t="shared" si="80"/>
        <v>-</v>
      </c>
      <c r="I132" s="148">
        <f t="shared" ref="I132:I144" si="81">IF(A132="*","",0)</f>
        <v>0</v>
      </c>
      <c r="J132" s="228">
        <f t="shared" ref="J132:AP139" si="82">INDEX($K111:$AY111,MATCH(J$127,$K$106:$AY$106,0))</f>
        <v>43.11250375056882</v>
      </c>
      <c r="K132" s="228">
        <f t="shared" si="82"/>
        <v>43.541669167045889</v>
      </c>
      <c r="L132" s="228">
        <f t="shared" si="82"/>
        <v>43.970834583522958</v>
      </c>
      <c r="M132" s="228">
        <f t="shared" si="82"/>
        <v>44.4</v>
      </c>
      <c r="N132" s="228">
        <f t="shared" si="82"/>
        <v>44.871410582810697</v>
      </c>
      <c r="O132" s="228">
        <f t="shared" si="82"/>
        <v>45.342821165621402</v>
      </c>
      <c r="P132" s="228">
        <f t="shared" si="82"/>
        <v>45.814231748432107</v>
      </c>
      <c r="Q132" s="228">
        <f t="shared" si="82"/>
        <v>46.285642331242812</v>
      </c>
      <c r="R132" s="228">
        <f t="shared" si="82"/>
        <v>45.342821165621402</v>
      </c>
      <c r="S132" s="228">
        <f t="shared" si="82"/>
        <v>45.918669137564208</v>
      </c>
      <c r="T132" s="228">
        <f t="shared" si="82"/>
        <v>46.494517109507015</v>
      </c>
      <c r="U132" s="228">
        <f t="shared" si="82"/>
        <v>47.070365081449822</v>
      </c>
      <c r="V132" s="228">
        <f t="shared" si="82"/>
        <v>47.646213053392628</v>
      </c>
      <c r="W132" s="228">
        <f t="shared" si="82"/>
        <v>48.222061025335435</v>
      </c>
      <c r="X132" s="228">
        <f t="shared" si="82"/>
        <v>48.797908997278242</v>
      </c>
      <c r="Y132" s="228">
        <f t="shared" si="82"/>
        <v>49.373756969221049</v>
      </c>
      <c r="Z132" s="228">
        <f t="shared" si="82"/>
        <v>49.949604941163855</v>
      </c>
      <c r="AA132" s="228">
        <f t="shared" si="82"/>
        <v>50.525452913106662</v>
      </c>
      <c r="AB132" s="228">
        <f t="shared" si="82"/>
        <v>47.070365081449829</v>
      </c>
      <c r="AC132" s="228">
        <f t="shared" si="82"/>
        <v>47.746830997196319</v>
      </c>
      <c r="AD132" s="228">
        <f t="shared" si="82"/>
        <v>48.42329691294281</v>
      </c>
      <c r="AE132" s="228">
        <f t="shared" si="82"/>
        <v>49.0997628286893</v>
      </c>
      <c r="AF132" s="228">
        <f t="shared" si="82"/>
        <v>49.776228744435791</v>
      </c>
      <c r="AG132" s="228">
        <f t="shared" si="82"/>
        <v>50.452694660182281</v>
      </c>
      <c r="AH132" s="228">
        <f t="shared" si="82"/>
        <v>51.129160575928772</v>
      </c>
      <c r="AI132" s="228">
        <f t="shared" si="82"/>
        <v>51.805626491675262</v>
      </c>
      <c r="AJ132" s="228">
        <f t="shared" si="82"/>
        <v>52.482092407421753</v>
      </c>
      <c r="AK132" s="228">
        <f t="shared" si="82"/>
        <v>53.158558323168243</v>
      </c>
      <c r="AL132" s="228">
        <f t="shared" si="82"/>
        <v>53.835024238914734</v>
      </c>
      <c r="AM132" s="228">
        <f t="shared" si="82"/>
        <v>58.605528297446682</v>
      </c>
      <c r="AN132" s="228">
        <f t="shared" si="82"/>
        <v>63.376032355978644</v>
      </c>
      <c r="AO132" s="228">
        <f t="shared" si="82"/>
        <v>63.376032355978644</v>
      </c>
      <c r="AP132" s="228">
        <f t="shared" si="82"/>
        <v>63.376032355978644</v>
      </c>
    </row>
    <row r="133" spans="1:78">
      <c r="A133" s="41"/>
      <c r="B133" s="22" t="str">
        <f t="shared" si="78"/>
        <v>COM_PROJ</v>
      </c>
      <c r="C133" s="23" t="str">
        <f t="shared" si="79"/>
        <v>-</v>
      </c>
      <c r="D133" s="61" t="str">
        <f>ITEMS_TRA!C16</f>
        <v>TFHCV1</v>
      </c>
      <c r="E133" s="23" t="str">
        <f t="shared" si="80"/>
        <v>-</v>
      </c>
      <c r="F133" s="23" t="str">
        <f t="shared" si="80"/>
        <v>-</v>
      </c>
      <c r="G133" s="23" t="str">
        <f t="shared" si="80"/>
        <v>-</v>
      </c>
      <c r="H133" s="23" t="str">
        <f t="shared" si="80"/>
        <v>-</v>
      </c>
      <c r="I133" s="148">
        <f t="shared" si="81"/>
        <v>0</v>
      </c>
      <c r="J133" s="228">
        <f t="shared" si="82"/>
        <v>3.310563752317667</v>
      </c>
      <c r="K133" s="228">
        <f t="shared" si="82"/>
        <v>3.3405637523176668</v>
      </c>
      <c r="L133" s="228">
        <f t="shared" si="82"/>
        <v>3.3705637523176666</v>
      </c>
      <c r="M133" s="228">
        <f t="shared" si="82"/>
        <v>3.4</v>
      </c>
      <c r="N133" s="228">
        <f t="shared" si="82"/>
        <v>3.4249999999999998</v>
      </c>
      <c r="O133" s="228">
        <f t="shared" si="82"/>
        <v>3.45</v>
      </c>
      <c r="P133" s="228">
        <f t="shared" si="82"/>
        <v>3.4750000000000005</v>
      </c>
      <c r="Q133" s="228">
        <f t="shared" si="82"/>
        <v>3.5000000000000009</v>
      </c>
      <c r="R133" s="228">
        <f t="shared" si="82"/>
        <v>3.45</v>
      </c>
      <c r="S133" s="228">
        <f t="shared" si="82"/>
        <v>3.5046227495160913</v>
      </c>
      <c r="T133" s="228">
        <f t="shared" si="82"/>
        <v>3.5592454990321825</v>
      </c>
      <c r="U133" s="228">
        <f t="shared" si="82"/>
        <v>3.6138682485482736</v>
      </c>
      <c r="V133" s="228">
        <f t="shared" si="82"/>
        <v>3.6684909980643647</v>
      </c>
      <c r="W133" s="228">
        <f t="shared" si="82"/>
        <v>3.7231137475804559</v>
      </c>
      <c r="X133" s="228">
        <f t="shared" si="82"/>
        <v>3.777736497096547</v>
      </c>
      <c r="Y133" s="228">
        <f t="shared" si="82"/>
        <v>3.8323592466126382</v>
      </c>
      <c r="Z133" s="228">
        <f t="shared" si="82"/>
        <v>3.8869819961287293</v>
      </c>
      <c r="AA133" s="228">
        <f t="shared" si="82"/>
        <v>3.9416047456448204</v>
      </c>
      <c r="AB133" s="228">
        <f t="shared" si="82"/>
        <v>3.6138682485482732</v>
      </c>
      <c r="AC133" s="228">
        <f t="shared" si="82"/>
        <v>3.6658045080166493</v>
      </c>
      <c r="AD133" s="228">
        <f t="shared" si="82"/>
        <v>3.7177407674850254</v>
      </c>
      <c r="AE133" s="228">
        <f t="shared" si="82"/>
        <v>3.7696770269534015</v>
      </c>
      <c r="AF133" s="228">
        <f t="shared" si="82"/>
        <v>3.8216132864217776</v>
      </c>
      <c r="AG133" s="228">
        <f t="shared" si="82"/>
        <v>3.8735495458901537</v>
      </c>
      <c r="AH133" s="228">
        <f t="shared" si="82"/>
        <v>3.9254858053585298</v>
      </c>
      <c r="AI133" s="228">
        <f t="shared" si="82"/>
        <v>3.9774220648269059</v>
      </c>
      <c r="AJ133" s="228">
        <f t="shared" si="82"/>
        <v>4.0293583242952824</v>
      </c>
      <c r="AK133" s="228">
        <f t="shared" si="82"/>
        <v>4.0812945837636585</v>
      </c>
      <c r="AL133" s="228">
        <f t="shared" si="82"/>
        <v>4.1332308432320355</v>
      </c>
      <c r="AM133" s="228">
        <f t="shared" si="82"/>
        <v>4.4994904445091333</v>
      </c>
      <c r="AN133" s="228">
        <f t="shared" si="82"/>
        <v>4.8657500457862337</v>
      </c>
      <c r="AO133" s="228">
        <f t="shared" si="82"/>
        <v>4.8657500457862337</v>
      </c>
      <c r="AP133" s="228">
        <f t="shared" si="82"/>
        <v>4.8657500457862337</v>
      </c>
    </row>
    <row r="134" spans="1:78">
      <c r="A134" s="41"/>
      <c r="B134" s="22" t="str">
        <f t="shared" si="78"/>
        <v>COM_PROJ</v>
      </c>
      <c r="C134" s="23" t="str">
        <f t="shared" si="79"/>
        <v>-</v>
      </c>
      <c r="D134" s="61" t="str">
        <f>ITEMS_TRA!C17</f>
        <v>TFHCV2</v>
      </c>
      <c r="E134" s="23" t="str">
        <f t="shared" si="80"/>
        <v>-</v>
      </c>
      <c r="F134" s="23" t="str">
        <f t="shared" si="80"/>
        <v>-</v>
      </c>
      <c r="G134" s="23" t="str">
        <f t="shared" si="80"/>
        <v>-</v>
      </c>
      <c r="H134" s="23" t="str">
        <f t="shared" si="80"/>
        <v>-</v>
      </c>
      <c r="I134" s="148">
        <f t="shared" si="81"/>
        <v>0</v>
      </c>
      <c r="J134" s="228">
        <f t="shared" si="82"/>
        <v>0.6547839540708813</v>
      </c>
      <c r="K134" s="228">
        <f t="shared" si="82"/>
        <v>0.67123078144835724</v>
      </c>
      <c r="L134" s="228">
        <f t="shared" si="82"/>
        <v>0.68767760882583318</v>
      </c>
      <c r="M134" s="228">
        <f t="shared" si="82"/>
        <v>0.704124436203308</v>
      </c>
      <c r="N134" s="228">
        <f t="shared" si="82"/>
        <v>0.72006693722491655</v>
      </c>
      <c r="O134" s="228">
        <f t="shared" si="82"/>
        <v>0.73600943824652509</v>
      </c>
      <c r="P134" s="228">
        <f t="shared" si="82"/>
        <v>0.75195193926813364</v>
      </c>
      <c r="Q134" s="228">
        <f t="shared" si="82"/>
        <v>0.76789444028974219</v>
      </c>
      <c r="R134" s="228">
        <f t="shared" si="82"/>
        <v>0.73600943824652509</v>
      </c>
      <c r="S134" s="228">
        <f t="shared" si="82"/>
        <v>0.72897134163823174</v>
      </c>
      <c r="T134" s="228">
        <f t="shared" si="82"/>
        <v>0.72193324502993839</v>
      </c>
      <c r="U134" s="228">
        <f t="shared" si="82"/>
        <v>0.71489514842164503</v>
      </c>
      <c r="V134" s="228">
        <f t="shared" si="82"/>
        <v>0.70785705181335168</v>
      </c>
      <c r="W134" s="228">
        <f t="shared" si="82"/>
        <v>0.70081895520505832</v>
      </c>
      <c r="X134" s="228">
        <f t="shared" si="82"/>
        <v>0.69378085859676497</v>
      </c>
      <c r="Y134" s="228">
        <f t="shared" si="82"/>
        <v>0.68674276198847162</v>
      </c>
      <c r="Z134" s="228">
        <f t="shared" si="82"/>
        <v>0.67970466538017826</v>
      </c>
      <c r="AA134" s="228">
        <f t="shared" si="82"/>
        <v>0.67266656877188491</v>
      </c>
      <c r="AB134" s="228">
        <f t="shared" si="82"/>
        <v>0.71489514842164503</v>
      </c>
      <c r="AC134" s="228">
        <f t="shared" si="82"/>
        <v>0.725169175410876</v>
      </c>
      <c r="AD134" s="228">
        <f t="shared" si="82"/>
        <v>0.73544320240010697</v>
      </c>
      <c r="AE134" s="228">
        <f t="shared" si="82"/>
        <v>0.74571722938933793</v>
      </c>
      <c r="AF134" s="228">
        <f t="shared" si="82"/>
        <v>0.7559912563785689</v>
      </c>
      <c r="AG134" s="228">
        <f t="shared" si="82"/>
        <v>0.76626528336779987</v>
      </c>
      <c r="AH134" s="228">
        <f t="shared" si="82"/>
        <v>0.77653931035703083</v>
      </c>
      <c r="AI134" s="228">
        <f t="shared" si="82"/>
        <v>0.7868133373462618</v>
      </c>
      <c r="AJ134" s="228">
        <f t="shared" si="82"/>
        <v>0.79708736433549277</v>
      </c>
      <c r="AK134" s="228">
        <f t="shared" si="82"/>
        <v>0.80736139132472373</v>
      </c>
      <c r="AL134" s="228">
        <f t="shared" si="82"/>
        <v>0.81763541831395481</v>
      </c>
      <c r="AM134" s="228">
        <f t="shared" si="82"/>
        <v>0.89008886542593124</v>
      </c>
      <c r="AN134" s="228">
        <f t="shared" si="82"/>
        <v>0.96254231253790812</v>
      </c>
      <c r="AO134" s="228">
        <f t="shared" si="82"/>
        <v>0.96254231253790812</v>
      </c>
      <c r="AP134" s="228">
        <f t="shared" si="82"/>
        <v>0.96254231253790812</v>
      </c>
    </row>
    <row r="135" spans="1:78">
      <c r="A135" s="41"/>
      <c r="B135" s="22" t="str">
        <f t="shared" si="78"/>
        <v>COM_PROJ</v>
      </c>
      <c r="C135" s="23" t="str">
        <f t="shared" si="79"/>
        <v>-</v>
      </c>
      <c r="D135" s="61" t="str">
        <f>ITEMS_TRA!C18</f>
        <v>TFHCV3</v>
      </c>
      <c r="E135" s="23" t="str">
        <f t="shared" si="80"/>
        <v>-</v>
      </c>
      <c r="F135" s="23" t="str">
        <f t="shared" si="80"/>
        <v>-</v>
      </c>
      <c r="G135" s="23" t="str">
        <f t="shared" si="80"/>
        <v>-</v>
      </c>
      <c r="H135" s="23" t="str">
        <f t="shared" si="80"/>
        <v>-</v>
      </c>
      <c r="I135" s="148">
        <f t="shared" si="81"/>
        <v>0</v>
      </c>
      <c r="J135" s="228">
        <f t="shared" si="82"/>
        <v>2.7114063478211388</v>
      </c>
      <c r="K135" s="228">
        <f t="shared" si="82"/>
        <v>2.7742708985474289</v>
      </c>
      <c r="L135" s="228">
        <f t="shared" si="82"/>
        <v>2.8371354492737191</v>
      </c>
      <c r="M135" s="228">
        <f t="shared" si="82"/>
        <v>2.9</v>
      </c>
      <c r="N135" s="228">
        <f t="shared" si="82"/>
        <v>2.9652984627095749</v>
      </c>
      <c r="O135" s="228">
        <f t="shared" si="82"/>
        <v>3.0305969254191498</v>
      </c>
      <c r="P135" s="228">
        <f t="shared" si="82"/>
        <v>3.0958953881287248</v>
      </c>
      <c r="Q135" s="228">
        <f t="shared" si="82"/>
        <v>3.1611938508382997</v>
      </c>
      <c r="R135" s="228">
        <f t="shared" si="82"/>
        <v>3.0305969254191498</v>
      </c>
      <c r="S135" s="228">
        <f t="shared" si="82"/>
        <v>3.0071718988497271</v>
      </c>
      <c r="T135" s="228">
        <f t="shared" si="82"/>
        <v>2.9837468722803044</v>
      </c>
      <c r="U135" s="228">
        <f t="shared" si="82"/>
        <v>2.9603218457108817</v>
      </c>
      <c r="V135" s="228">
        <f t="shared" si="82"/>
        <v>2.9368968191414591</v>
      </c>
      <c r="W135" s="228">
        <f t="shared" si="82"/>
        <v>2.9134717925720364</v>
      </c>
      <c r="X135" s="228">
        <f t="shared" si="82"/>
        <v>2.8900467660026137</v>
      </c>
      <c r="Y135" s="228">
        <f t="shared" si="82"/>
        <v>2.866621739433191</v>
      </c>
      <c r="Z135" s="228">
        <f t="shared" si="82"/>
        <v>2.8431967128637683</v>
      </c>
      <c r="AA135" s="228">
        <f t="shared" si="82"/>
        <v>2.8197716862943456</v>
      </c>
      <c r="AB135" s="228">
        <f t="shared" si="82"/>
        <v>2.9603218457108817</v>
      </c>
      <c r="AC135" s="228">
        <f t="shared" si="82"/>
        <v>3.0028657440808639</v>
      </c>
      <c r="AD135" s="228">
        <f t="shared" si="82"/>
        <v>3.0454096424508461</v>
      </c>
      <c r="AE135" s="228">
        <f t="shared" si="82"/>
        <v>3.0879535408208283</v>
      </c>
      <c r="AF135" s="228">
        <f t="shared" si="82"/>
        <v>3.1304974391908105</v>
      </c>
      <c r="AG135" s="228">
        <f t="shared" si="82"/>
        <v>3.1730413375607927</v>
      </c>
      <c r="AH135" s="228">
        <f t="shared" si="82"/>
        <v>3.2155852359307748</v>
      </c>
      <c r="AI135" s="228">
        <f t="shared" si="82"/>
        <v>3.258129134300757</v>
      </c>
      <c r="AJ135" s="228">
        <f t="shared" si="82"/>
        <v>3.3006730326707392</v>
      </c>
      <c r="AK135" s="228">
        <f t="shared" si="82"/>
        <v>3.3432169310407214</v>
      </c>
      <c r="AL135" s="228">
        <f t="shared" si="82"/>
        <v>3.3857608294107018</v>
      </c>
      <c r="AM135" s="228">
        <f t="shared" si="82"/>
        <v>3.6857845780068228</v>
      </c>
      <c r="AN135" s="228">
        <f t="shared" si="82"/>
        <v>3.9858083266029447</v>
      </c>
      <c r="AO135" s="228">
        <f t="shared" si="82"/>
        <v>3.9858083266029447</v>
      </c>
      <c r="AP135" s="228">
        <f t="shared" si="82"/>
        <v>3.9858083266029447</v>
      </c>
    </row>
    <row r="136" spans="1:78">
      <c r="A136" s="41"/>
      <c r="B136" s="22" t="str">
        <f t="shared" si="78"/>
        <v>COM_PROJ</v>
      </c>
      <c r="C136" s="23" t="str">
        <f t="shared" si="79"/>
        <v>-</v>
      </c>
      <c r="D136" s="61" t="str">
        <f>ITEMS_TRA!C19</f>
        <v>TFHCV4</v>
      </c>
      <c r="E136" s="23" t="str">
        <f t="shared" si="80"/>
        <v>-</v>
      </c>
      <c r="F136" s="23" t="str">
        <f t="shared" si="80"/>
        <v>-</v>
      </c>
      <c r="G136" s="23" t="str">
        <f t="shared" si="80"/>
        <v>-</v>
      </c>
      <c r="H136" s="23" t="str">
        <f t="shared" si="80"/>
        <v>-</v>
      </c>
      <c r="I136" s="148">
        <f t="shared" si="81"/>
        <v>0</v>
      </c>
      <c r="J136" s="228">
        <f t="shared" si="82"/>
        <v>0.57023972229676956</v>
      </c>
      <c r="K136" s="228">
        <f t="shared" si="82"/>
        <v>0.55900373411704862</v>
      </c>
      <c r="L136" s="228">
        <f t="shared" si="82"/>
        <v>0.54776774593732769</v>
      </c>
      <c r="M136" s="228">
        <f t="shared" si="82"/>
        <v>0.53653175775760331</v>
      </c>
      <c r="N136" s="228">
        <f t="shared" si="82"/>
        <v>0.54016937887880168</v>
      </c>
      <c r="O136" s="228">
        <f t="shared" si="82"/>
        <v>0.54380700000000004</v>
      </c>
      <c r="P136" s="228">
        <f t="shared" si="82"/>
        <v>0.5474446211211984</v>
      </c>
      <c r="Q136" s="228">
        <f t="shared" si="82"/>
        <v>0.55108224224239677</v>
      </c>
      <c r="R136" s="228">
        <f t="shared" si="82"/>
        <v>0.54380700000000004</v>
      </c>
      <c r="S136" s="228">
        <f t="shared" si="82"/>
        <v>0.57006783146719719</v>
      </c>
      <c r="T136" s="228">
        <f t="shared" si="82"/>
        <v>0.59632866293439435</v>
      </c>
      <c r="U136" s="228">
        <f t="shared" si="82"/>
        <v>0.6225894944015915</v>
      </c>
      <c r="V136" s="228">
        <f t="shared" si="82"/>
        <v>0.64885032586878866</v>
      </c>
      <c r="W136" s="228">
        <f t="shared" si="82"/>
        <v>0.67511115733598581</v>
      </c>
      <c r="X136" s="228">
        <f t="shared" si="82"/>
        <v>0.70137198880318297</v>
      </c>
      <c r="Y136" s="228">
        <f t="shared" si="82"/>
        <v>0.72763282027038012</v>
      </c>
      <c r="Z136" s="228">
        <f t="shared" si="82"/>
        <v>0.75389365173757728</v>
      </c>
      <c r="AA136" s="228">
        <f t="shared" si="82"/>
        <v>0.78015448320477443</v>
      </c>
      <c r="AB136" s="228">
        <f t="shared" si="82"/>
        <v>0.6225894944015915</v>
      </c>
      <c r="AC136" s="228">
        <f t="shared" si="82"/>
        <v>0.63153696212859445</v>
      </c>
      <c r="AD136" s="228">
        <f t="shared" si="82"/>
        <v>0.64048442985559739</v>
      </c>
      <c r="AE136" s="228">
        <f t="shared" si="82"/>
        <v>0.64943189758260034</v>
      </c>
      <c r="AF136" s="228">
        <f t="shared" si="82"/>
        <v>0.65837936530960328</v>
      </c>
      <c r="AG136" s="228">
        <f t="shared" si="82"/>
        <v>0.66732683303660623</v>
      </c>
      <c r="AH136" s="228">
        <f t="shared" si="82"/>
        <v>0.67627430076360917</v>
      </c>
      <c r="AI136" s="228">
        <f t="shared" si="82"/>
        <v>0.68522176849061212</v>
      </c>
      <c r="AJ136" s="228">
        <f t="shared" si="82"/>
        <v>0.69416923621761506</v>
      </c>
      <c r="AK136" s="228">
        <f t="shared" si="82"/>
        <v>0.703116703944618</v>
      </c>
      <c r="AL136" s="228">
        <f t="shared" si="82"/>
        <v>0.7120641716716205</v>
      </c>
      <c r="AM136" s="228">
        <f t="shared" si="82"/>
        <v>0.77516259261445364</v>
      </c>
      <c r="AN136" s="228">
        <f t="shared" si="82"/>
        <v>0.83826101355728655</v>
      </c>
      <c r="AO136" s="228">
        <f t="shared" si="82"/>
        <v>0.83826101355728655</v>
      </c>
      <c r="AP136" s="228">
        <f t="shared" si="82"/>
        <v>0.83826101355728655</v>
      </c>
    </row>
    <row r="137" spans="1:78">
      <c r="A137" s="41"/>
      <c r="B137" s="22" t="str">
        <f t="shared" si="78"/>
        <v>COM_PROJ</v>
      </c>
      <c r="C137" s="23" t="str">
        <f t="shared" si="79"/>
        <v>-</v>
      </c>
      <c r="D137" s="61" t="str">
        <f>ITEMS_TRA!C20</f>
        <v>TFHCV5</v>
      </c>
      <c r="E137" s="23" t="str">
        <f t="shared" si="80"/>
        <v>-</v>
      </c>
      <c r="F137" s="23" t="str">
        <f t="shared" si="80"/>
        <v>-</v>
      </c>
      <c r="G137" s="23" t="str">
        <f t="shared" si="80"/>
        <v>-</v>
      </c>
      <c r="H137" s="23" t="str">
        <f t="shared" si="80"/>
        <v>-</v>
      </c>
      <c r="I137" s="148">
        <f t="shared" si="81"/>
        <v>0</v>
      </c>
      <c r="J137" s="228">
        <f t="shared" si="82"/>
        <v>0.27326501935541331</v>
      </c>
      <c r="K137" s="228">
        <f t="shared" si="82"/>
        <v>0.27740453823694228</v>
      </c>
      <c r="L137" s="228">
        <f t="shared" si="82"/>
        <v>0.28154405711847125</v>
      </c>
      <c r="M137" s="228">
        <f t="shared" si="82"/>
        <v>0.28568357599999999</v>
      </c>
      <c r="N137" s="228">
        <f t="shared" si="82"/>
        <v>0.2876204765</v>
      </c>
      <c r="O137" s="228">
        <f t="shared" si="82"/>
        <v>0.289557377</v>
      </c>
      <c r="P137" s="228">
        <f t="shared" si="82"/>
        <v>0.29149427750000001</v>
      </c>
      <c r="Q137" s="228">
        <f t="shared" si="82"/>
        <v>0.29343117800000001</v>
      </c>
      <c r="R137" s="228">
        <f t="shared" si="82"/>
        <v>0.289557377</v>
      </c>
      <c r="S137" s="228">
        <f t="shared" si="82"/>
        <v>0.29248878274193923</v>
      </c>
      <c r="T137" s="228">
        <f t="shared" si="82"/>
        <v>0.29542018848387847</v>
      </c>
      <c r="U137" s="228">
        <f t="shared" si="82"/>
        <v>0.2983515942258177</v>
      </c>
      <c r="V137" s="228">
        <f t="shared" si="82"/>
        <v>0.30128299996775693</v>
      </c>
      <c r="W137" s="228">
        <f t="shared" si="82"/>
        <v>0.30421440570969616</v>
      </c>
      <c r="X137" s="228">
        <f t="shared" si="82"/>
        <v>0.30714581145163539</v>
      </c>
      <c r="Y137" s="228">
        <f t="shared" si="82"/>
        <v>0.31007721719357462</v>
      </c>
      <c r="Z137" s="228">
        <f t="shared" si="82"/>
        <v>0.31300862293551385</v>
      </c>
      <c r="AA137" s="228">
        <f t="shared" si="82"/>
        <v>0.31594002867745308</v>
      </c>
      <c r="AB137" s="228">
        <f t="shared" si="82"/>
        <v>0.29835159422581775</v>
      </c>
      <c r="AC137" s="228">
        <f t="shared" si="82"/>
        <v>0.30263931717109677</v>
      </c>
      <c r="AD137" s="228">
        <f t="shared" si="82"/>
        <v>0.30692704011637578</v>
      </c>
      <c r="AE137" s="228">
        <f t="shared" si="82"/>
        <v>0.3112147630616548</v>
      </c>
      <c r="AF137" s="228">
        <f t="shared" si="82"/>
        <v>0.31550248600693381</v>
      </c>
      <c r="AG137" s="228">
        <f t="shared" si="82"/>
        <v>0.31979020895221283</v>
      </c>
      <c r="AH137" s="228">
        <f t="shared" si="82"/>
        <v>0.32407793189749184</v>
      </c>
      <c r="AI137" s="228">
        <f t="shared" si="82"/>
        <v>0.32836565484277086</v>
      </c>
      <c r="AJ137" s="228">
        <f t="shared" si="82"/>
        <v>0.33265337778804988</v>
      </c>
      <c r="AK137" s="228">
        <f t="shared" si="82"/>
        <v>0.33694110073332889</v>
      </c>
      <c r="AL137" s="228">
        <f t="shared" si="82"/>
        <v>0.34122882367860796</v>
      </c>
      <c r="AM137" s="228">
        <f t="shared" si="82"/>
        <v>0.37146626689072043</v>
      </c>
      <c r="AN137" s="228">
        <f t="shared" si="82"/>
        <v>0.40170371010283296</v>
      </c>
      <c r="AO137" s="228">
        <f t="shared" si="82"/>
        <v>0.40170371010283296</v>
      </c>
      <c r="AP137" s="228">
        <f t="shared" si="82"/>
        <v>0.40170371010283296</v>
      </c>
    </row>
    <row r="138" spans="1:78">
      <c r="A138" s="41"/>
      <c r="B138" s="22" t="str">
        <f t="shared" si="78"/>
        <v>COM_PROJ</v>
      </c>
      <c r="C138" s="23" t="str">
        <f t="shared" si="79"/>
        <v>-</v>
      </c>
      <c r="D138" s="61" t="str">
        <f>ITEMS_TRA!C21</f>
        <v>TFHCV6</v>
      </c>
      <c r="E138" s="23" t="str">
        <f t="shared" si="80"/>
        <v>-</v>
      </c>
      <c r="F138" s="23" t="str">
        <f t="shared" si="80"/>
        <v>-</v>
      </c>
      <c r="G138" s="23" t="str">
        <f t="shared" si="80"/>
        <v>-</v>
      </c>
      <c r="H138" s="23" t="str">
        <f t="shared" si="80"/>
        <v>-</v>
      </c>
      <c r="I138" s="148">
        <f t="shared" si="81"/>
        <v>0</v>
      </c>
      <c r="J138" s="228">
        <f t="shared" si="82"/>
        <v>5.0361375113209643</v>
      </c>
      <c r="K138" s="228">
        <f t="shared" si="82"/>
        <v>5.3607583408806443</v>
      </c>
      <c r="L138" s="228">
        <f t="shared" si="82"/>
        <v>5.6853791704403243</v>
      </c>
      <c r="M138" s="228">
        <f t="shared" si="82"/>
        <v>6.01</v>
      </c>
      <c r="N138" s="228">
        <f t="shared" si="82"/>
        <v>6.3253919226144593</v>
      </c>
      <c r="O138" s="228">
        <f t="shared" si="82"/>
        <v>6.6407838452289187</v>
      </c>
      <c r="P138" s="228">
        <f t="shared" si="82"/>
        <v>6.9561757678433782</v>
      </c>
      <c r="Q138" s="228">
        <f t="shared" si="82"/>
        <v>7.2715676904578377</v>
      </c>
      <c r="R138" s="228">
        <f t="shared" si="82"/>
        <v>6.6407838452289196</v>
      </c>
      <c r="S138" s="228">
        <f t="shared" si="82"/>
        <v>6.2600127394663838</v>
      </c>
      <c r="T138" s="228">
        <f t="shared" si="82"/>
        <v>5.879241633703848</v>
      </c>
      <c r="U138" s="228">
        <f t="shared" si="82"/>
        <v>5.4984705279413122</v>
      </c>
      <c r="V138" s="228">
        <f t="shared" si="82"/>
        <v>5.1176994221787764</v>
      </c>
      <c r="W138" s="228">
        <f t="shared" si="82"/>
        <v>4.7369283164162406</v>
      </c>
      <c r="X138" s="228">
        <f t="shared" si="82"/>
        <v>4.3561572106537048</v>
      </c>
      <c r="Y138" s="228">
        <f t="shared" si="82"/>
        <v>3.9753861048911685</v>
      </c>
      <c r="Z138" s="228">
        <f t="shared" si="82"/>
        <v>3.5946149991286322</v>
      </c>
      <c r="AA138" s="228">
        <f t="shared" si="82"/>
        <v>3.213843893366096</v>
      </c>
      <c r="AB138" s="228">
        <f t="shared" si="82"/>
        <v>5.4984705279413113</v>
      </c>
      <c r="AC138" s="228">
        <f t="shared" si="82"/>
        <v>5.5774911154054765</v>
      </c>
      <c r="AD138" s="228">
        <f t="shared" si="82"/>
        <v>5.6565117028696417</v>
      </c>
      <c r="AE138" s="228">
        <f t="shared" si="82"/>
        <v>5.7355322903338068</v>
      </c>
      <c r="AF138" s="228">
        <f t="shared" si="82"/>
        <v>5.814552877797972</v>
      </c>
      <c r="AG138" s="228">
        <f t="shared" si="82"/>
        <v>5.8935734652621372</v>
      </c>
      <c r="AH138" s="228">
        <f t="shared" si="82"/>
        <v>5.9725940527263024</v>
      </c>
      <c r="AI138" s="228">
        <f t="shared" si="82"/>
        <v>6.0516146401904676</v>
      </c>
      <c r="AJ138" s="228">
        <f t="shared" si="82"/>
        <v>6.1306352276546328</v>
      </c>
      <c r="AK138" s="228">
        <f t="shared" si="82"/>
        <v>6.2096558151187979</v>
      </c>
      <c r="AL138" s="228">
        <f t="shared" si="82"/>
        <v>6.2886764025829658</v>
      </c>
      <c r="AM138" s="228">
        <f t="shared" si="82"/>
        <v>6.8459373442364582</v>
      </c>
      <c r="AN138" s="228">
        <f t="shared" si="82"/>
        <v>7.4031982858899488</v>
      </c>
      <c r="AO138" s="228">
        <f t="shared" si="82"/>
        <v>7.4031982858899488</v>
      </c>
      <c r="AP138" s="228">
        <f t="shared" si="82"/>
        <v>7.4031982858899488</v>
      </c>
    </row>
    <row r="139" spans="1:78">
      <c r="A139" s="41"/>
      <c r="B139" s="22" t="str">
        <f t="shared" si="78"/>
        <v>COM_PROJ</v>
      </c>
      <c r="C139" s="23" t="str">
        <f t="shared" si="79"/>
        <v>-</v>
      </c>
      <c r="D139" s="61" t="str">
        <f>ITEMS_TRA!C22</f>
        <v>TFHCV7</v>
      </c>
      <c r="E139" s="23" t="str">
        <f t="shared" si="80"/>
        <v>-</v>
      </c>
      <c r="F139" s="23" t="str">
        <f t="shared" si="80"/>
        <v>-</v>
      </c>
      <c r="G139" s="23" t="str">
        <f t="shared" si="80"/>
        <v>-</v>
      </c>
      <c r="H139" s="23" t="str">
        <f t="shared" si="80"/>
        <v>-</v>
      </c>
      <c r="I139" s="148">
        <f t="shared" si="81"/>
        <v>0</v>
      </c>
      <c r="J139" s="228">
        <f t="shared" si="82"/>
        <v>1.5653068685251963</v>
      </c>
      <c r="K139" s="228">
        <f t="shared" si="82"/>
        <v>1.6102045790167996</v>
      </c>
      <c r="L139" s="228">
        <f t="shared" si="82"/>
        <v>1.6551022895084029</v>
      </c>
      <c r="M139" s="228">
        <f t="shared" si="82"/>
        <v>1.7</v>
      </c>
      <c r="N139" s="228">
        <f t="shared" si="82"/>
        <v>1.74</v>
      </c>
      <c r="O139" s="228">
        <f t="shared" si="82"/>
        <v>1.78</v>
      </c>
      <c r="P139" s="228">
        <f t="shared" si="82"/>
        <v>1.82</v>
      </c>
      <c r="Q139" s="228">
        <f t="shared" si="82"/>
        <v>1.86</v>
      </c>
      <c r="R139" s="228">
        <f t="shared" si="82"/>
        <v>1.78</v>
      </c>
      <c r="S139" s="228">
        <f t="shared" si="82"/>
        <v>1.7563356285395482</v>
      </c>
      <c r="T139" s="228">
        <f t="shared" si="82"/>
        <v>1.7326712570790963</v>
      </c>
      <c r="U139" s="228">
        <f t="shared" si="82"/>
        <v>1.7090068856186444</v>
      </c>
      <c r="V139" s="228">
        <f t="shared" si="82"/>
        <v>1.6853425141581926</v>
      </c>
      <c r="W139" s="228">
        <f t="shared" si="82"/>
        <v>1.6616781426977407</v>
      </c>
      <c r="X139" s="228">
        <f t="shared" si="82"/>
        <v>1.6380137712372889</v>
      </c>
      <c r="Y139" s="228">
        <f t="shared" si="82"/>
        <v>1.614349399776837</v>
      </c>
      <c r="Z139" s="228">
        <f t="shared" si="82"/>
        <v>1.5906850283163851</v>
      </c>
      <c r="AA139" s="228">
        <f t="shared" si="82"/>
        <v>1.5670206568559333</v>
      </c>
      <c r="AB139" s="228">
        <f t="shared" si="82"/>
        <v>1.7090068856186442</v>
      </c>
      <c r="AC139" s="228">
        <f t="shared" si="82"/>
        <v>1.7335676661840085</v>
      </c>
      <c r="AD139" s="228">
        <f t="shared" si="82"/>
        <v>1.7581284467493727</v>
      </c>
      <c r="AE139" s="228">
        <f t="shared" si="82"/>
        <v>1.782689227314737</v>
      </c>
      <c r="AF139" s="228">
        <f t="shared" si="82"/>
        <v>1.8072500078801013</v>
      </c>
      <c r="AG139" s="228">
        <f t="shared" si="82"/>
        <v>1.8318107884454655</v>
      </c>
      <c r="AH139" s="228">
        <f t="shared" ref="AH139:AP139" si="83">INDEX($K118:$AY118,MATCH(AH$127,$K$106:$AY$106,0))</f>
        <v>1.8563715690108298</v>
      </c>
      <c r="AI139" s="228">
        <f t="shared" si="83"/>
        <v>1.880932349576194</v>
      </c>
      <c r="AJ139" s="228">
        <f t="shared" si="83"/>
        <v>1.9054931301415583</v>
      </c>
      <c r="AK139" s="228">
        <f t="shared" si="83"/>
        <v>1.9300539107069226</v>
      </c>
      <c r="AL139" s="228">
        <f t="shared" si="83"/>
        <v>1.9546146912722866</v>
      </c>
      <c r="AM139" s="228">
        <f t="shared" si="83"/>
        <v>2.1278197273877977</v>
      </c>
      <c r="AN139" s="228">
        <f t="shared" si="83"/>
        <v>2.3010247635033085</v>
      </c>
      <c r="AO139" s="228">
        <f t="shared" si="83"/>
        <v>2.3010247635033085</v>
      </c>
      <c r="AP139" s="228">
        <f t="shared" si="83"/>
        <v>2.3010247635033085</v>
      </c>
    </row>
    <row r="140" spans="1:78">
      <c r="A140" s="41" t="s">
        <v>126</v>
      </c>
      <c r="B140" s="22" t="str">
        <f t="shared" si="78"/>
        <v>COM_PROJ</v>
      </c>
      <c r="C140" s="23" t="str">
        <f t="shared" si="79"/>
        <v>-</v>
      </c>
      <c r="D140" s="61" t="str">
        <f>ITEMS_TRA!C23</f>
        <v>TFHCV8</v>
      </c>
      <c r="E140" s="23" t="str">
        <f t="shared" si="80"/>
        <v>-</v>
      </c>
      <c r="F140" s="23" t="str">
        <f t="shared" si="80"/>
        <v>-</v>
      </c>
      <c r="G140" s="23" t="str">
        <f t="shared" si="80"/>
        <v>-</v>
      </c>
      <c r="H140" s="23" t="str">
        <f t="shared" si="80"/>
        <v>-</v>
      </c>
      <c r="I140" s="148">
        <f t="shared" si="81"/>
        <v>0</v>
      </c>
      <c r="J140" s="228">
        <f t="shared" ref="J140:AP144" si="84">INDEX($K119:$AY119,MATCH(J$127,$K$106:$AY$106,0))</f>
        <v>5.8486156921973939E-2</v>
      </c>
      <c r="K140" s="228">
        <f t="shared" si="84"/>
        <v>6.5622085483256903E-2</v>
      </c>
      <c r="L140" s="228">
        <f t="shared" si="84"/>
        <v>7.2758014044539868E-2</v>
      </c>
      <c r="M140" s="228">
        <f t="shared" si="84"/>
        <v>7.9893942605822804E-2</v>
      </c>
      <c r="N140" s="228">
        <f t="shared" si="84"/>
        <v>9.0970063028559395E-2</v>
      </c>
      <c r="O140" s="228">
        <f t="shared" si="84"/>
        <v>0.10204618345129599</v>
      </c>
      <c r="P140" s="228">
        <f t="shared" si="84"/>
        <v>0.11312230387403258</v>
      </c>
      <c r="Q140" s="228">
        <f t="shared" si="84"/>
        <v>0.12419842429676917</v>
      </c>
      <c r="R140" s="228">
        <f t="shared" si="84"/>
        <v>0.102046183451296</v>
      </c>
      <c r="S140" s="228">
        <f t="shared" si="84"/>
        <v>8.9315911372357781E-2</v>
      </c>
      <c r="T140" s="228">
        <f t="shared" si="84"/>
        <v>7.6585639293419563E-2</v>
      </c>
      <c r="U140" s="228">
        <f t="shared" si="84"/>
        <v>6.3855367214481346E-2</v>
      </c>
      <c r="V140" s="228">
        <f t="shared" si="84"/>
        <v>5.1125095135543135E-2</v>
      </c>
      <c r="W140" s="228">
        <f t="shared" si="84"/>
        <v>3.8394823056604924E-2</v>
      </c>
      <c r="X140" s="228">
        <f t="shared" si="84"/>
        <v>2.5664550977666713E-2</v>
      </c>
      <c r="Y140" s="228">
        <f t="shared" si="84"/>
        <v>1.29342788987285E-2</v>
      </c>
      <c r="Z140" s="228">
        <f t="shared" si="84"/>
        <v>2.0400681979028737E-4</v>
      </c>
      <c r="AA140" s="228">
        <f t="shared" si="84"/>
        <v>-1.2526265259147925E-2</v>
      </c>
      <c r="AB140" s="228">
        <f t="shared" si="84"/>
        <v>6.3855367214481359E-2</v>
      </c>
      <c r="AC140" s="228">
        <f t="shared" si="84"/>
        <v>6.4773056707293386E-2</v>
      </c>
      <c r="AD140" s="228">
        <f t="shared" si="84"/>
        <v>6.5690746200105413E-2</v>
      </c>
      <c r="AE140" s="228">
        <f t="shared" si="84"/>
        <v>6.6608435692917439E-2</v>
      </c>
      <c r="AF140" s="228">
        <f t="shared" si="84"/>
        <v>6.7526125185729466E-2</v>
      </c>
      <c r="AG140" s="228">
        <f t="shared" si="84"/>
        <v>6.8443814678541492E-2</v>
      </c>
      <c r="AH140" s="228">
        <f t="shared" si="84"/>
        <v>6.9361504171353519E-2</v>
      </c>
      <c r="AI140" s="228">
        <f t="shared" si="84"/>
        <v>7.0279193664165546E-2</v>
      </c>
      <c r="AJ140" s="228">
        <f t="shared" si="84"/>
        <v>7.1196883156977572E-2</v>
      </c>
      <c r="AK140" s="228">
        <f t="shared" si="84"/>
        <v>7.2114572649789599E-2</v>
      </c>
      <c r="AL140" s="228">
        <f t="shared" si="84"/>
        <v>7.3032262142601598E-2</v>
      </c>
      <c r="AM140" s="228">
        <f t="shared" si="84"/>
        <v>7.9503898551807672E-2</v>
      </c>
      <c r="AN140" s="228">
        <f t="shared" si="84"/>
        <v>8.5975534961013692E-2</v>
      </c>
      <c r="AO140" s="228">
        <f t="shared" si="84"/>
        <v>8.5975534961013692E-2</v>
      </c>
      <c r="AP140" s="228">
        <f t="shared" si="84"/>
        <v>8.5975534961013692E-2</v>
      </c>
    </row>
    <row r="141" spans="1:78">
      <c r="A141" s="41" t="s">
        <v>126</v>
      </c>
      <c r="B141" s="22" t="str">
        <f t="shared" si="78"/>
        <v>COM_PROJ</v>
      </c>
      <c r="C141" s="23" t="str">
        <f t="shared" si="79"/>
        <v>-</v>
      </c>
      <c r="D141" s="61" t="str">
        <f>ITEMS_TRA!C24</f>
        <v>TFHCV9</v>
      </c>
      <c r="E141" s="23" t="str">
        <f t="shared" si="80"/>
        <v>-</v>
      </c>
      <c r="F141" s="23" t="str">
        <f t="shared" si="80"/>
        <v>-</v>
      </c>
      <c r="G141" s="23" t="str">
        <f t="shared" si="80"/>
        <v>-</v>
      </c>
      <c r="H141" s="23" t="str">
        <f t="shared" si="80"/>
        <v>-</v>
      </c>
      <c r="I141" s="148">
        <f t="shared" si="81"/>
        <v>0</v>
      </c>
      <c r="J141" s="228">
        <f t="shared" si="84"/>
        <v>3.9969372950314989E-2</v>
      </c>
      <c r="K141" s="228">
        <f t="shared" si="84"/>
        <v>3.4102559292729893E-2</v>
      </c>
      <c r="L141" s="228">
        <f t="shared" si="84"/>
        <v>2.8235745635144794E-2</v>
      </c>
      <c r="M141" s="228">
        <f t="shared" si="84"/>
        <v>2.2368931977559604E-2</v>
      </c>
      <c r="N141" s="228">
        <f t="shared" si="84"/>
        <v>2.2519965988779801E-2</v>
      </c>
      <c r="O141" s="228">
        <f t="shared" si="84"/>
        <v>2.2670999999999997E-2</v>
      </c>
      <c r="P141" s="228">
        <f t="shared" si="84"/>
        <v>2.2822034011220193E-2</v>
      </c>
      <c r="Q141" s="228">
        <f t="shared" si="84"/>
        <v>2.2973068022440389E-2</v>
      </c>
      <c r="R141" s="228">
        <f t="shared" si="84"/>
        <v>2.2670999999999997E-2</v>
      </c>
      <c r="S141" s="228">
        <f t="shared" si="84"/>
        <v>2.9660228380617045E-2</v>
      </c>
      <c r="T141" s="228">
        <f t="shared" si="84"/>
        <v>3.6649456761234094E-2</v>
      </c>
      <c r="U141" s="228">
        <f t="shared" si="84"/>
        <v>4.3638685141851138E-2</v>
      </c>
      <c r="V141" s="228">
        <f t="shared" si="84"/>
        <v>5.0627913522468183E-2</v>
      </c>
      <c r="W141" s="228">
        <f t="shared" si="84"/>
        <v>5.7617141903085228E-2</v>
      </c>
      <c r="X141" s="228">
        <f t="shared" si="84"/>
        <v>6.460637028370228E-2</v>
      </c>
      <c r="Y141" s="228">
        <f t="shared" si="84"/>
        <v>7.1595598664319332E-2</v>
      </c>
      <c r="Z141" s="228">
        <f t="shared" si="84"/>
        <v>7.8584827044936384E-2</v>
      </c>
      <c r="AA141" s="228">
        <f t="shared" si="84"/>
        <v>8.5574055425553436E-2</v>
      </c>
      <c r="AB141" s="228">
        <f t="shared" si="84"/>
        <v>4.3638685141851138E-2</v>
      </c>
      <c r="AC141" s="228">
        <f t="shared" si="84"/>
        <v>4.4265833094822696E-2</v>
      </c>
      <c r="AD141" s="228">
        <f t="shared" si="84"/>
        <v>4.4892981047794253E-2</v>
      </c>
      <c r="AE141" s="228">
        <f t="shared" si="84"/>
        <v>4.552012900076581E-2</v>
      </c>
      <c r="AF141" s="228">
        <f t="shared" si="84"/>
        <v>4.6147276953737368E-2</v>
      </c>
      <c r="AG141" s="228">
        <f t="shared" si="84"/>
        <v>4.6774424906708925E-2</v>
      </c>
      <c r="AH141" s="228">
        <f t="shared" si="84"/>
        <v>4.7401572859680483E-2</v>
      </c>
      <c r="AI141" s="228">
        <f t="shared" si="84"/>
        <v>4.802872081265204E-2</v>
      </c>
      <c r="AJ141" s="228">
        <f t="shared" si="84"/>
        <v>4.8655868765623597E-2</v>
      </c>
      <c r="AK141" s="228">
        <f t="shared" si="84"/>
        <v>4.9283016718595155E-2</v>
      </c>
      <c r="AL141" s="228">
        <f t="shared" si="84"/>
        <v>4.9910164671566698E-2</v>
      </c>
      <c r="AM141" s="228">
        <f t="shared" si="84"/>
        <v>5.4332873614188461E-2</v>
      </c>
      <c r="AN141" s="228">
        <f t="shared" si="84"/>
        <v>5.8755582556810203E-2</v>
      </c>
      <c r="AO141" s="228">
        <f t="shared" si="84"/>
        <v>5.8755582556810203E-2</v>
      </c>
      <c r="AP141" s="228">
        <f t="shared" si="84"/>
        <v>5.8755582556810203E-2</v>
      </c>
    </row>
    <row r="142" spans="1:78">
      <c r="A142" s="41" t="s">
        <v>126</v>
      </c>
      <c r="B142" s="22" t="str">
        <f t="shared" si="78"/>
        <v>COM_PROJ</v>
      </c>
      <c r="C142" s="23" t="str">
        <f t="shared" si="79"/>
        <v>-</v>
      </c>
      <c r="D142" s="61" t="str">
        <f>ITEMS_TRA!C25</f>
        <v>TFRCO</v>
      </c>
      <c r="E142" s="23" t="str">
        <f t="shared" si="80"/>
        <v>-</v>
      </c>
      <c r="F142" s="23" t="str">
        <f t="shared" si="80"/>
        <v>-</v>
      </c>
      <c r="G142" s="23" t="str">
        <f t="shared" si="80"/>
        <v>-</v>
      </c>
      <c r="H142" s="23" t="str">
        <f t="shared" si="80"/>
        <v>-</v>
      </c>
      <c r="I142" s="148">
        <f t="shared" si="81"/>
        <v>0</v>
      </c>
      <c r="J142" s="228">
        <f t="shared" si="84"/>
        <v>22</v>
      </c>
      <c r="K142" s="228">
        <f t="shared" si="84"/>
        <v>22.410704476932139</v>
      </c>
      <c r="L142" s="228">
        <f t="shared" si="84"/>
        <v>22.821408953864278</v>
      </c>
      <c r="M142" s="228">
        <f t="shared" si="84"/>
        <v>23.232113430796417</v>
      </c>
      <c r="N142" s="228">
        <f t="shared" si="84"/>
        <v>23.390018838037079</v>
      </c>
      <c r="O142" s="228">
        <f t="shared" si="84"/>
        <v>23.547924245277741</v>
      </c>
      <c r="P142" s="228">
        <f t="shared" si="84"/>
        <v>23.705829652518403</v>
      </c>
      <c r="Q142" s="228">
        <f t="shared" si="84"/>
        <v>23.863735059759065</v>
      </c>
      <c r="R142" s="228">
        <f t="shared" si="84"/>
        <v>23.547924245277745</v>
      </c>
      <c r="S142" s="228">
        <f t="shared" si="84"/>
        <v>23.705172202598256</v>
      </c>
      <c r="T142" s="228">
        <f t="shared" si="84"/>
        <v>23.862420159918766</v>
      </c>
      <c r="U142" s="228">
        <f t="shared" si="84"/>
        <v>24.019668117239277</v>
      </c>
      <c r="V142" s="228">
        <f t="shared" si="84"/>
        <v>24.176916074559788</v>
      </c>
      <c r="W142" s="228">
        <f t="shared" si="84"/>
        <v>24.334164031880299</v>
      </c>
      <c r="X142" s="228">
        <f t="shared" si="84"/>
        <v>24.49141198920081</v>
      </c>
      <c r="Y142" s="228">
        <f t="shared" si="84"/>
        <v>24.64865994652132</v>
      </c>
      <c r="Z142" s="228">
        <f t="shared" si="84"/>
        <v>24.805907903841831</v>
      </c>
      <c r="AA142" s="228">
        <f t="shared" si="84"/>
        <v>24.963155861162342</v>
      </c>
      <c r="AB142" s="228">
        <f t="shared" si="84"/>
        <v>24.019668117239277</v>
      </c>
      <c r="AC142" s="228">
        <f t="shared" si="84"/>
        <v>24.364863799506431</v>
      </c>
      <c r="AD142" s="228">
        <f t="shared" si="84"/>
        <v>24.710059481773584</v>
      </c>
      <c r="AE142" s="228">
        <f t="shared" si="84"/>
        <v>25.055255164040737</v>
      </c>
      <c r="AF142" s="228">
        <f t="shared" si="84"/>
        <v>25.400450846307891</v>
      </c>
      <c r="AG142" s="228">
        <f t="shared" si="84"/>
        <v>25.745646528575044</v>
      </c>
      <c r="AH142" s="228">
        <f t="shared" si="84"/>
        <v>26.090842210842197</v>
      </c>
      <c r="AI142" s="228">
        <f t="shared" si="84"/>
        <v>26.436037893109351</v>
      </c>
      <c r="AJ142" s="228">
        <f t="shared" si="84"/>
        <v>26.781233575376504</v>
      </c>
      <c r="AK142" s="228">
        <f t="shared" si="84"/>
        <v>27.126429257643657</v>
      </c>
      <c r="AL142" s="228">
        <f t="shared" si="84"/>
        <v>27.471624939910804</v>
      </c>
      <c r="AM142" s="228">
        <f t="shared" si="84"/>
        <v>29.905978785257084</v>
      </c>
      <c r="AN142" s="228">
        <f t="shared" si="84"/>
        <v>32.340332630603356</v>
      </c>
      <c r="AO142" s="228">
        <f t="shared" si="84"/>
        <v>32.340332630603356</v>
      </c>
      <c r="AP142" s="228">
        <f t="shared" si="84"/>
        <v>32.340332630603356</v>
      </c>
    </row>
    <row r="143" spans="1:78">
      <c r="A143" s="41"/>
      <c r="B143" s="22" t="str">
        <f t="shared" si="78"/>
        <v>COM_PROJ</v>
      </c>
      <c r="C143" s="23" t="str">
        <f t="shared" si="79"/>
        <v>-</v>
      </c>
      <c r="D143" s="61" t="str">
        <f>ITEMS_TRA!C26</f>
        <v>TFROT</v>
      </c>
      <c r="E143" s="23" t="str">
        <f t="shared" si="80"/>
        <v>-</v>
      </c>
      <c r="F143" s="23" t="str">
        <f t="shared" si="80"/>
        <v>-</v>
      </c>
      <c r="G143" s="23" t="str">
        <f t="shared" si="80"/>
        <v>-</v>
      </c>
      <c r="H143" s="23" t="str">
        <f t="shared" si="80"/>
        <v>-</v>
      </c>
      <c r="I143" s="148">
        <f t="shared" si="81"/>
        <v>0</v>
      </c>
      <c r="J143" s="228">
        <f t="shared" si="84"/>
        <v>25.099999999999998</v>
      </c>
      <c r="K143" s="228">
        <f t="shared" si="84"/>
        <v>25.568576471408942</v>
      </c>
      <c r="L143" s="228">
        <f t="shared" si="84"/>
        <v>26.037152942817887</v>
      </c>
      <c r="M143" s="228">
        <f t="shared" si="84"/>
        <v>26.505729414226828</v>
      </c>
      <c r="N143" s="228">
        <f t="shared" si="84"/>
        <v>26.685885128851403</v>
      </c>
      <c r="O143" s="228">
        <f t="shared" si="84"/>
        <v>26.866040843475979</v>
      </c>
      <c r="P143" s="228">
        <f t="shared" si="84"/>
        <v>27.046196558100554</v>
      </c>
      <c r="Q143" s="228">
        <f t="shared" si="84"/>
        <v>27.22635227272513</v>
      </c>
      <c r="R143" s="228">
        <f t="shared" si="84"/>
        <v>26.866040843475982</v>
      </c>
      <c r="S143" s="228">
        <f t="shared" si="84"/>
        <v>27.045446467509837</v>
      </c>
      <c r="T143" s="228">
        <f t="shared" si="84"/>
        <v>27.224852091543692</v>
      </c>
      <c r="U143" s="228">
        <f t="shared" si="84"/>
        <v>27.404257715577547</v>
      </c>
      <c r="V143" s="228">
        <f t="shared" si="84"/>
        <v>27.583663339611402</v>
      </c>
      <c r="W143" s="228">
        <f t="shared" si="84"/>
        <v>27.763068963645257</v>
      </c>
      <c r="X143" s="228">
        <f t="shared" si="84"/>
        <v>27.942474587679111</v>
      </c>
      <c r="Y143" s="228">
        <f t="shared" si="84"/>
        <v>28.121880211712966</v>
      </c>
      <c r="Z143" s="228">
        <f t="shared" si="84"/>
        <v>28.301285835746821</v>
      </c>
      <c r="AA143" s="228">
        <f t="shared" si="84"/>
        <v>28.480691459780676</v>
      </c>
      <c r="AB143" s="228">
        <f t="shared" si="84"/>
        <v>27.404257715577543</v>
      </c>
      <c r="AC143" s="228">
        <f t="shared" si="84"/>
        <v>27.798094607618705</v>
      </c>
      <c r="AD143" s="228">
        <f t="shared" si="84"/>
        <v>28.191931499659866</v>
      </c>
      <c r="AE143" s="228">
        <f t="shared" si="84"/>
        <v>28.585768391701027</v>
      </c>
      <c r="AF143" s="228">
        <f t="shared" si="84"/>
        <v>28.979605283742188</v>
      </c>
      <c r="AG143" s="228">
        <f t="shared" si="84"/>
        <v>29.373442175783349</v>
      </c>
      <c r="AH143" s="228">
        <f t="shared" si="84"/>
        <v>29.767279067824511</v>
      </c>
      <c r="AI143" s="228">
        <f t="shared" si="84"/>
        <v>30.161115959865672</v>
      </c>
      <c r="AJ143" s="228">
        <f t="shared" si="84"/>
        <v>30.554952851906833</v>
      </c>
      <c r="AK143" s="228">
        <f t="shared" si="84"/>
        <v>30.948789743947994</v>
      </c>
      <c r="AL143" s="228">
        <f t="shared" si="84"/>
        <v>31.342626635989149</v>
      </c>
      <c r="AM143" s="228">
        <f t="shared" si="84"/>
        <v>34.120003068634226</v>
      </c>
      <c r="AN143" s="228">
        <f t="shared" si="84"/>
        <v>36.897379501279289</v>
      </c>
      <c r="AO143" s="228">
        <f t="shared" si="84"/>
        <v>36.897379501279289</v>
      </c>
      <c r="AP143" s="228">
        <f t="shared" si="84"/>
        <v>36.897379501279289</v>
      </c>
    </row>
    <row r="144" spans="1:78">
      <c r="A144" s="139"/>
      <c r="B144" s="22" t="str">
        <f t="shared" si="78"/>
        <v>COM_PROJ</v>
      </c>
      <c r="C144" s="149" t="str">
        <f t="shared" si="79"/>
        <v>-</v>
      </c>
      <c r="D144" s="61" t="str">
        <f>ITEMS_TRA!C27</f>
        <v>TFREX</v>
      </c>
      <c r="E144" s="149" t="str">
        <f t="shared" si="80"/>
        <v>-</v>
      </c>
      <c r="F144" s="149" t="str">
        <f t="shared" si="80"/>
        <v>-</v>
      </c>
      <c r="G144" s="149" t="str">
        <f t="shared" si="80"/>
        <v>-</v>
      </c>
      <c r="H144" s="149" t="str">
        <f t="shared" si="80"/>
        <v>-</v>
      </c>
      <c r="I144" s="150">
        <f t="shared" si="81"/>
        <v>0</v>
      </c>
      <c r="J144" s="228">
        <f t="shared" si="84"/>
        <v>82</v>
      </c>
      <c r="K144" s="228">
        <f t="shared" si="84"/>
        <v>82</v>
      </c>
      <c r="L144" s="228">
        <f t="shared" si="84"/>
        <v>82</v>
      </c>
      <c r="M144" s="228">
        <f t="shared" si="84"/>
        <v>82</v>
      </c>
      <c r="N144" s="228">
        <f t="shared" si="84"/>
        <v>82</v>
      </c>
      <c r="O144" s="228">
        <f t="shared" si="84"/>
        <v>82</v>
      </c>
      <c r="P144" s="228">
        <f t="shared" si="84"/>
        <v>82</v>
      </c>
      <c r="Q144" s="228">
        <f t="shared" si="84"/>
        <v>82</v>
      </c>
      <c r="R144" s="228">
        <f t="shared" si="84"/>
        <v>82</v>
      </c>
      <c r="S144" s="228">
        <f t="shared" si="84"/>
        <v>82.025471944098541</v>
      </c>
      <c r="T144" s="228">
        <f t="shared" si="84"/>
        <v>82.050943888197082</v>
      </c>
      <c r="U144" s="228">
        <f t="shared" si="84"/>
        <v>82.076415832295623</v>
      </c>
      <c r="V144" s="228">
        <f t="shared" si="84"/>
        <v>82.101887776394165</v>
      </c>
      <c r="W144" s="228">
        <f t="shared" si="84"/>
        <v>82.127359720492706</v>
      </c>
      <c r="X144" s="228">
        <f t="shared" si="84"/>
        <v>82.152831664591247</v>
      </c>
      <c r="Y144" s="228">
        <f t="shared" si="84"/>
        <v>82.178303608689788</v>
      </c>
      <c r="Z144" s="228">
        <f t="shared" si="84"/>
        <v>82.203775552788329</v>
      </c>
      <c r="AA144" s="228">
        <f t="shared" si="84"/>
        <v>82.22924749688687</v>
      </c>
      <c r="AB144" s="228">
        <f t="shared" si="84"/>
        <v>82.076415832295638</v>
      </c>
      <c r="AC144" s="228">
        <f t="shared" si="84"/>
        <v>83.126860111102957</v>
      </c>
      <c r="AD144" s="228">
        <f t="shared" si="84"/>
        <v>84.177304389910276</v>
      </c>
      <c r="AE144" s="228">
        <f t="shared" si="84"/>
        <v>85.227748668717595</v>
      </c>
      <c r="AF144" s="228">
        <f t="shared" si="84"/>
        <v>86.278192947524914</v>
      </c>
      <c r="AG144" s="228">
        <f t="shared" si="84"/>
        <v>87.328637226332233</v>
      </c>
      <c r="AH144" s="228">
        <f t="shared" si="84"/>
        <v>88.379081505139553</v>
      </c>
      <c r="AI144" s="228">
        <f t="shared" si="84"/>
        <v>89.429525783946872</v>
      </c>
      <c r="AJ144" s="228">
        <f t="shared" si="84"/>
        <v>90.479970062754191</v>
      </c>
      <c r="AK144" s="228">
        <f t="shared" si="84"/>
        <v>91.53041434156151</v>
      </c>
      <c r="AL144" s="228">
        <f t="shared" si="84"/>
        <v>92.580858620368858</v>
      </c>
      <c r="AM144" s="228">
        <f t="shared" si="84"/>
        <v>100.79773001416626</v>
      </c>
      <c r="AN144" s="228">
        <f t="shared" si="84"/>
        <v>109.01460140796371</v>
      </c>
      <c r="AO144" s="228">
        <f t="shared" si="84"/>
        <v>109.01460140796371</v>
      </c>
      <c r="AP144" s="228">
        <f t="shared" si="84"/>
        <v>109.01460140796371</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1.6">
      <c r="A165" s="137" t="s">
        <v>17</v>
      </c>
      <c r="B165" s="141" t="s">
        <v>19</v>
      </c>
      <c r="C165" s="141" t="s">
        <v>20</v>
      </c>
      <c r="D165" s="141" t="s">
        <v>21</v>
      </c>
      <c r="E165" s="141" t="s">
        <v>22</v>
      </c>
      <c r="F165" s="141" t="s">
        <v>23</v>
      </c>
      <c r="G165" s="141" t="s">
        <v>24</v>
      </c>
      <c r="H165" s="141"/>
      <c r="I165" s="141" t="s">
        <v>25</v>
      </c>
      <c r="J165" s="142" t="s">
        <v>26</v>
      </c>
      <c r="K165" s="227">
        <v>2012</v>
      </c>
      <c r="L165" s="227">
        <v>2013</v>
      </c>
      <c r="M165" s="227">
        <v>2014</v>
      </c>
      <c r="N165" s="227">
        <v>2015</v>
      </c>
      <c r="O165" s="227">
        <v>2016</v>
      </c>
      <c r="P165" s="227">
        <v>2017</v>
      </c>
      <c r="Q165" s="227">
        <v>2018</v>
      </c>
      <c r="R165" s="227">
        <v>2019</v>
      </c>
      <c r="S165" s="227">
        <v>2020</v>
      </c>
      <c r="T165" s="227">
        <v>2021</v>
      </c>
      <c r="U165" s="227">
        <v>2022</v>
      </c>
      <c r="V165" s="227">
        <v>2023</v>
      </c>
      <c r="W165" s="227">
        <v>2024</v>
      </c>
      <c r="X165" s="227">
        <v>2025</v>
      </c>
      <c r="Y165" s="227">
        <v>2026</v>
      </c>
      <c r="Z165" s="227">
        <v>2027</v>
      </c>
      <c r="AA165" s="227">
        <v>2028</v>
      </c>
      <c r="AB165" s="227">
        <v>2029</v>
      </c>
      <c r="AC165" s="227">
        <v>2030</v>
      </c>
      <c r="AD165" s="227">
        <v>2031</v>
      </c>
      <c r="AE165" s="227">
        <v>2032</v>
      </c>
      <c r="AF165" s="227">
        <v>2033</v>
      </c>
      <c r="AG165" s="227">
        <v>2034</v>
      </c>
      <c r="AH165" s="227">
        <v>2035</v>
      </c>
      <c r="AI165" s="227">
        <v>2036</v>
      </c>
      <c r="AJ165" s="227">
        <v>2037</v>
      </c>
      <c r="AK165" s="227">
        <v>2038</v>
      </c>
      <c r="AL165" s="227">
        <v>2039</v>
      </c>
      <c r="AM165" s="227">
        <v>2040</v>
      </c>
      <c r="AN165" s="227">
        <v>2041</v>
      </c>
      <c r="AO165" s="227">
        <v>2042</v>
      </c>
      <c r="AP165" s="227">
        <v>2043</v>
      </c>
      <c r="AQ165" s="227">
        <v>2044</v>
      </c>
    </row>
    <row r="166" spans="1:78" s="233" customFormat="1">
      <c r="A166" s="137" t="s">
        <v>17</v>
      </c>
      <c r="B166" s="233" t="s">
        <v>404</v>
      </c>
      <c r="C166" s="233">
        <v>1</v>
      </c>
      <c r="D166" s="233">
        <v>2006</v>
      </c>
      <c r="E166" s="233">
        <v>2010</v>
      </c>
      <c r="F166" s="233">
        <v>2020</v>
      </c>
      <c r="G166" s="233">
        <v>2030</v>
      </c>
      <c r="I166" s="233">
        <v>2040</v>
      </c>
      <c r="J166" s="283">
        <v>2050</v>
      </c>
      <c r="K166" s="233">
        <f t="shared" ref="K166:AQ167" si="85">MATCH(J$127,$D$128:$I$128,$C166)</f>
        <v>1</v>
      </c>
      <c r="L166" s="233">
        <f t="shared" si="85"/>
        <v>1</v>
      </c>
      <c r="M166" s="233">
        <f t="shared" si="85"/>
        <v>1</v>
      </c>
      <c r="N166" s="233">
        <f t="shared" si="85"/>
        <v>2</v>
      </c>
      <c r="O166" s="233">
        <f t="shared" si="85"/>
        <v>2</v>
      </c>
      <c r="P166" s="233">
        <f t="shared" si="85"/>
        <v>2</v>
      </c>
      <c r="Q166" s="233">
        <f t="shared" si="85"/>
        <v>2</v>
      </c>
      <c r="R166" s="233">
        <f t="shared" si="85"/>
        <v>2</v>
      </c>
      <c r="S166" s="233">
        <f t="shared" si="85"/>
        <v>3</v>
      </c>
      <c r="T166" s="233">
        <f t="shared" si="85"/>
        <v>3</v>
      </c>
      <c r="U166" s="233">
        <f t="shared" si="85"/>
        <v>3</v>
      </c>
      <c r="V166" s="233">
        <f t="shared" si="85"/>
        <v>3</v>
      </c>
      <c r="W166" s="233">
        <f t="shared" si="85"/>
        <v>3</v>
      </c>
      <c r="X166" s="233">
        <f t="shared" si="85"/>
        <v>3</v>
      </c>
      <c r="Y166" s="233">
        <f t="shared" si="85"/>
        <v>3</v>
      </c>
      <c r="Z166" s="233">
        <f t="shared" si="85"/>
        <v>3</v>
      </c>
      <c r="AA166" s="233">
        <f t="shared" si="85"/>
        <v>3</v>
      </c>
      <c r="AB166" s="233">
        <f t="shared" si="85"/>
        <v>3</v>
      </c>
      <c r="AC166" s="233">
        <f t="shared" si="85"/>
        <v>4</v>
      </c>
      <c r="AD166" s="233">
        <f t="shared" si="85"/>
        <v>4</v>
      </c>
      <c r="AE166" s="233">
        <f t="shared" si="85"/>
        <v>4</v>
      </c>
      <c r="AF166" s="233">
        <f t="shared" si="85"/>
        <v>4</v>
      </c>
      <c r="AG166" s="233">
        <f t="shared" si="85"/>
        <v>4</v>
      </c>
      <c r="AH166" s="233">
        <f t="shared" si="85"/>
        <v>4</v>
      </c>
      <c r="AI166" s="233">
        <f t="shared" si="85"/>
        <v>4</v>
      </c>
      <c r="AJ166" s="233">
        <f t="shared" si="85"/>
        <v>4</v>
      </c>
      <c r="AK166" s="233">
        <f t="shared" si="85"/>
        <v>4</v>
      </c>
      <c r="AL166" s="233">
        <f t="shared" si="85"/>
        <v>4</v>
      </c>
      <c r="AM166" s="233">
        <f t="shared" si="85"/>
        <v>5</v>
      </c>
      <c r="AN166" s="233">
        <f t="shared" si="85"/>
        <v>5</v>
      </c>
      <c r="AO166" s="233">
        <f t="shared" si="85"/>
        <v>6</v>
      </c>
      <c r="AP166" s="233">
        <f t="shared" si="85"/>
        <v>6</v>
      </c>
      <c r="AQ166" s="233">
        <f t="shared" si="85"/>
        <v>6</v>
      </c>
      <c r="AR166" s="227"/>
      <c r="AS166" s="227"/>
      <c r="AT166" s="227"/>
      <c r="AU166" s="227"/>
      <c r="AV166" s="227"/>
      <c r="AW166" s="227"/>
      <c r="AX166" s="227"/>
      <c r="AY166" s="227"/>
      <c r="AZ166" s="227"/>
      <c r="BA166" s="227"/>
      <c r="BB166" s="227"/>
      <c r="BC166" s="227"/>
      <c r="BD166" s="227"/>
      <c r="BE166" s="227"/>
      <c r="BF166" s="227"/>
      <c r="BG166" s="227"/>
      <c r="BH166" s="227"/>
      <c r="BI166" s="227"/>
      <c r="BJ166" s="227"/>
      <c r="BK166" s="227"/>
      <c r="BL166" s="227"/>
      <c r="BM166" s="227"/>
      <c r="BN166" s="227"/>
      <c r="BO166" s="227"/>
      <c r="BP166" s="227"/>
      <c r="BQ166" s="227"/>
      <c r="BR166" s="227"/>
      <c r="BS166" s="227"/>
      <c r="BT166" s="227"/>
      <c r="BU166" s="227"/>
      <c r="BV166" s="227"/>
      <c r="BW166" s="227"/>
      <c r="BX166" s="227"/>
      <c r="BY166" s="227"/>
      <c r="BZ166" s="227"/>
    </row>
    <row r="167" spans="1:78">
      <c r="A167" s="41" t="s">
        <v>17</v>
      </c>
      <c r="B167" s="227" t="s">
        <v>405</v>
      </c>
      <c r="C167" s="227">
        <v>0</v>
      </c>
      <c r="D167" s="227">
        <f>INDEX($D166:$J166,0,COUNT($D166:$J166)-D168)</f>
        <v>2040</v>
      </c>
      <c r="E167" s="227">
        <f>INDEX($D166:$J166,0,COUNT($D166:$J166)-E168)</f>
        <v>0</v>
      </c>
      <c r="F167" s="227">
        <f>INDEX($D166:$J166,0,COUNT($D166:$J166)-F168)</f>
        <v>2030</v>
      </c>
      <c r="G167" s="227">
        <f>INDEX($D166:$J166,0,COUNT($D166:$J166)-G168)</f>
        <v>2020</v>
      </c>
      <c r="I167" s="227">
        <f>INDEX($D166:$J166,0,COUNT($D166:$J166)-I168)</f>
        <v>2010</v>
      </c>
      <c r="J167" s="144">
        <f>INDEX($D166:$J166,0,COUNT($D166:$J166)-J168)</f>
        <v>2006</v>
      </c>
      <c r="K167" s="41">
        <f t="shared" si="85"/>
        <v>1</v>
      </c>
      <c r="L167" s="227" t="e">
        <f t="shared" si="85"/>
        <v>#N/A</v>
      </c>
      <c r="M167" s="227" t="e">
        <f t="shared" si="85"/>
        <v>#N/A</v>
      </c>
      <c r="N167" s="227">
        <f t="shared" si="85"/>
        <v>2</v>
      </c>
      <c r="O167" s="227" t="e">
        <f t="shared" si="85"/>
        <v>#N/A</v>
      </c>
      <c r="P167" s="227" t="e">
        <f t="shared" si="85"/>
        <v>#N/A</v>
      </c>
      <c r="Q167" s="227" t="e">
        <f t="shared" si="85"/>
        <v>#N/A</v>
      </c>
      <c r="R167" s="227" t="e">
        <f t="shared" si="85"/>
        <v>#N/A</v>
      </c>
      <c r="S167" s="227">
        <f t="shared" si="85"/>
        <v>3</v>
      </c>
      <c r="T167" s="227" t="e">
        <f t="shared" si="85"/>
        <v>#N/A</v>
      </c>
      <c r="U167" s="227" t="e">
        <f t="shared" si="85"/>
        <v>#N/A</v>
      </c>
      <c r="V167" s="227" t="e">
        <f t="shared" si="85"/>
        <v>#N/A</v>
      </c>
      <c r="W167" s="227" t="e">
        <f t="shared" si="85"/>
        <v>#N/A</v>
      </c>
      <c r="X167" s="227" t="e">
        <f t="shared" si="85"/>
        <v>#N/A</v>
      </c>
      <c r="Y167" s="227" t="e">
        <f t="shared" si="85"/>
        <v>#N/A</v>
      </c>
      <c r="Z167" s="227" t="e">
        <f t="shared" si="85"/>
        <v>#N/A</v>
      </c>
      <c r="AA167" s="227" t="e">
        <f t="shared" si="85"/>
        <v>#N/A</v>
      </c>
      <c r="AB167" s="227" t="e">
        <f t="shared" si="85"/>
        <v>#N/A</v>
      </c>
      <c r="AC167" s="227">
        <f t="shared" si="85"/>
        <v>4</v>
      </c>
      <c r="AD167" s="227" t="e">
        <f t="shared" si="85"/>
        <v>#N/A</v>
      </c>
      <c r="AE167" s="227" t="e">
        <f t="shared" si="85"/>
        <v>#N/A</v>
      </c>
      <c r="AF167" s="227" t="e">
        <f t="shared" si="85"/>
        <v>#N/A</v>
      </c>
      <c r="AG167" s="227" t="e">
        <f t="shared" si="85"/>
        <v>#N/A</v>
      </c>
      <c r="AH167" s="227" t="e">
        <f t="shared" si="85"/>
        <v>#N/A</v>
      </c>
      <c r="AI167" s="227" t="e">
        <f t="shared" si="85"/>
        <v>#N/A</v>
      </c>
      <c r="AJ167" s="227" t="e">
        <f t="shared" si="85"/>
        <v>#N/A</v>
      </c>
      <c r="AK167" s="227" t="e">
        <f t="shared" si="85"/>
        <v>#N/A</v>
      </c>
      <c r="AL167" s="227" t="e">
        <f t="shared" si="85"/>
        <v>#N/A</v>
      </c>
      <c r="AM167" s="227">
        <f t="shared" si="85"/>
        <v>5</v>
      </c>
      <c r="AN167" s="227" t="e">
        <f t="shared" si="85"/>
        <v>#N/A</v>
      </c>
      <c r="AO167" s="227">
        <f t="shared" si="85"/>
        <v>6</v>
      </c>
      <c r="AP167" s="227" t="e">
        <f t="shared" si="85"/>
        <v>#N/A</v>
      </c>
      <c r="AQ167" s="227" t="e">
        <f t="shared" si="85"/>
        <v>#N/A</v>
      </c>
    </row>
    <row r="168" spans="1:78">
      <c r="A168" s="41" t="s">
        <v>17</v>
      </c>
      <c r="B168" s="227" t="s">
        <v>403</v>
      </c>
      <c r="C168" s="227">
        <v>-1</v>
      </c>
      <c r="D168" s="227">
        <v>0</v>
      </c>
      <c r="E168" s="227">
        <v>1</v>
      </c>
      <c r="F168" s="227">
        <v>2</v>
      </c>
      <c r="G168" s="227">
        <v>3</v>
      </c>
      <c r="I168" s="227">
        <v>4</v>
      </c>
      <c r="J168" s="227">
        <v>5</v>
      </c>
      <c r="K168" s="41">
        <f t="shared" ref="K168:AQ168" si="86">MATCH(J$127,$D$129:$I$129,$C168)</f>
        <v>6</v>
      </c>
      <c r="L168" s="227">
        <f t="shared" si="86"/>
        <v>5</v>
      </c>
      <c r="M168" s="227">
        <f t="shared" si="86"/>
        <v>5</v>
      </c>
      <c r="N168" s="227">
        <f t="shared" si="86"/>
        <v>5</v>
      </c>
      <c r="O168" s="227">
        <f t="shared" si="86"/>
        <v>4</v>
      </c>
      <c r="P168" s="227">
        <f t="shared" si="86"/>
        <v>4</v>
      </c>
      <c r="Q168" s="227">
        <f t="shared" si="86"/>
        <v>4</v>
      </c>
      <c r="R168" s="227">
        <f t="shared" si="86"/>
        <v>4</v>
      </c>
      <c r="S168" s="227">
        <f t="shared" si="86"/>
        <v>4</v>
      </c>
      <c r="T168" s="227">
        <f t="shared" si="86"/>
        <v>3</v>
      </c>
      <c r="U168" s="227">
        <f t="shared" si="86"/>
        <v>3</v>
      </c>
      <c r="V168" s="227">
        <f t="shared" si="86"/>
        <v>3</v>
      </c>
      <c r="W168" s="227">
        <f t="shared" si="86"/>
        <v>3</v>
      </c>
      <c r="X168" s="227">
        <f t="shared" si="86"/>
        <v>3</v>
      </c>
      <c r="Y168" s="227">
        <f t="shared" si="86"/>
        <v>3</v>
      </c>
      <c r="Z168" s="227">
        <f t="shared" si="86"/>
        <v>3</v>
      </c>
      <c r="AA168" s="227">
        <f t="shared" si="86"/>
        <v>3</v>
      </c>
      <c r="AB168" s="227">
        <f t="shared" si="86"/>
        <v>3</v>
      </c>
      <c r="AC168" s="227">
        <f t="shared" si="86"/>
        <v>3</v>
      </c>
      <c r="AD168" s="227">
        <f t="shared" si="86"/>
        <v>2</v>
      </c>
      <c r="AE168" s="227">
        <f t="shared" si="86"/>
        <v>2</v>
      </c>
      <c r="AF168" s="227">
        <f t="shared" si="86"/>
        <v>2</v>
      </c>
      <c r="AG168" s="227">
        <f t="shared" si="86"/>
        <v>2</v>
      </c>
      <c r="AH168" s="227">
        <f t="shared" si="86"/>
        <v>2</v>
      </c>
      <c r="AI168" s="227">
        <f t="shared" si="86"/>
        <v>2</v>
      </c>
      <c r="AJ168" s="227">
        <f t="shared" si="86"/>
        <v>2</v>
      </c>
      <c r="AK168" s="227">
        <f t="shared" si="86"/>
        <v>2</v>
      </c>
      <c r="AL168" s="227">
        <f t="shared" si="86"/>
        <v>2</v>
      </c>
      <c r="AM168" s="227">
        <f t="shared" si="86"/>
        <v>2</v>
      </c>
      <c r="AN168" s="227">
        <f t="shared" si="86"/>
        <v>1</v>
      </c>
      <c r="AO168" s="227">
        <f t="shared" si="86"/>
        <v>1</v>
      </c>
      <c r="AP168" s="227" t="e">
        <f t="shared" si="86"/>
        <v>#N/A</v>
      </c>
      <c r="AQ168" s="227" t="e">
        <f t="shared" si="86"/>
        <v>#N/A</v>
      </c>
    </row>
    <row r="169" spans="1:78" s="140" customFormat="1">
      <c r="A169" s="41" t="s">
        <v>17</v>
      </c>
      <c r="B169" s="227" t="s">
        <v>406</v>
      </c>
      <c r="C169" s="227"/>
      <c r="D169" s="227"/>
      <c r="E169" s="227"/>
      <c r="F169" s="227"/>
      <c r="G169" s="227"/>
      <c r="H169" s="227"/>
      <c r="I169" s="227"/>
      <c r="J169" s="145"/>
      <c r="K169" s="231">
        <f>IF(ISNA(K166),-1,IF(ISNA(K168),99,IF(ISNA(K167),K166,0)))</f>
        <v>0</v>
      </c>
      <c r="L169" s="231">
        <f t="shared" ref="L169:AQ169" si="87">IF(ISNA(L166),-1,IF(ISNA(L168),99,IF(ISNA(L167),L166,0)))</f>
        <v>1</v>
      </c>
      <c r="M169" s="231">
        <f t="shared" si="87"/>
        <v>1</v>
      </c>
      <c r="N169" s="231">
        <f t="shared" si="87"/>
        <v>0</v>
      </c>
      <c r="O169" s="231">
        <f t="shared" si="87"/>
        <v>2</v>
      </c>
      <c r="P169" s="231">
        <f t="shared" si="87"/>
        <v>2</v>
      </c>
      <c r="Q169" s="231">
        <f t="shared" si="87"/>
        <v>2</v>
      </c>
      <c r="R169" s="231">
        <f t="shared" si="87"/>
        <v>2</v>
      </c>
      <c r="S169" s="231">
        <f t="shared" si="87"/>
        <v>0</v>
      </c>
      <c r="T169" s="231">
        <f t="shared" si="87"/>
        <v>3</v>
      </c>
      <c r="U169" s="231">
        <f t="shared" si="87"/>
        <v>3</v>
      </c>
      <c r="V169" s="231">
        <f t="shared" si="87"/>
        <v>3</v>
      </c>
      <c r="W169" s="231">
        <f t="shared" si="87"/>
        <v>3</v>
      </c>
      <c r="X169" s="231">
        <f t="shared" si="87"/>
        <v>3</v>
      </c>
      <c r="Y169" s="231">
        <f t="shared" si="87"/>
        <v>3</v>
      </c>
      <c r="Z169" s="231">
        <f t="shared" si="87"/>
        <v>3</v>
      </c>
      <c r="AA169" s="231">
        <f t="shared" si="87"/>
        <v>3</v>
      </c>
      <c r="AB169" s="231">
        <f t="shared" si="87"/>
        <v>3</v>
      </c>
      <c r="AC169" s="231">
        <f t="shared" si="87"/>
        <v>0</v>
      </c>
      <c r="AD169" s="231">
        <f t="shared" si="87"/>
        <v>4</v>
      </c>
      <c r="AE169" s="231">
        <f t="shared" si="87"/>
        <v>4</v>
      </c>
      <c r="AF169" s="231">
        <f t="shared" si="87"/>
        <v>4</v>
      </c>
      <c r="AG169" s="231">
        <f t="shared" si="87"/>
        <v>4</v>
      </c>
      <c r="AH169" s="231">
        <f t="shared" si="87"/>
        <v>4</v>
      </c>
      <c r="AI169" s="231">
        <f t="shared" si="87"/>
        <v>4</v>
      </c>
      <c r="AJ169" s="231">
        <f t="shared" si="87"/>
        <v>4</v>
      </c>
      <c r="AK169" s="231">
        <f t="shared" si="87"/>
        <v>4</v>
      </c>
      <c r="AL169" s="231">
        <f t="shared" si="87"/>
        <v>4</v>
      </c>
      <c r="AM169" s="231">
        <f t="shared" si="87"/>
        <v>0</v>
      </c>
      <c r="AN169" s="231">
        <f t="shared" si="87"/>
        <v>5</v>
      </c>
      <c r="AO169" s="231">
        <f t="shared" si="87"/>
        <v>0</v>
      </c>
      <c r="AP169" s="231">
        <f t="shared" si="87"/>
        <v>99</v>
      </c>
      <c r="AQ169" s="231">
        <f t="shared" si="87"/>
        <v>99</v>
      </c>
      <c r="AR169" s="227"/>
      <c r="AS169" s="227"/>
      <c r="AT169" s="227"/>
      <c r="AU169" s="227"/>
      <c r="AV169" s="227"/>
      <c r="AW169" s="227"/>
      <c r="AX169" s="227"/>
      <c r="AY169" s="227"/>
      <c r="AZ169" s="227"/>
      <c r="BA169" s="227"/>
      <c r="BB169" s="227"/>
      <c r="BC169" s="227"/>
      <c r="BD169" s="227"/>
      <c r="BE169" s="227"/>
      <c r="BF169" s="227"/>
      <c r="BG169" s="227"/>
      <c r="BH169" s="227"/>
      <c r="BI169" s="227"/>
      <c r="BJ169" s="227"/>
      <c r="BK169" s="227"/>
      <c r="BL169" s="227"/>
      <c r="BM169" s="227"/>
      <c r="BN169" s="227"/>
      <c r="BO169" s="227"/>
      <c r="BP169" s="227"/>
      <c r="BQ169" s="227"/>
      <c r="BR169" s="227"/>
      <c r="BS169" s="227"/>
      <c r="BT169" s="227"/>
      <c r="BU169" s="227"/>
      <c r="BV169" s="227"/>
      <c r="BW169" s="227"/>
      <c r="BX169" s="227"/>
      <c r="BY169" s="227"/>
      <c r="BZ169" s="227"/>
    </row>
    <row r="170" spans="1:78">
      <c r="A170" s="227" t="s">
        <v>17</v>
      </c>
      <c r="B170" s="22" t="str">
        <f t="shared" ref="B170:B179" si="88">IF(A170="*","","COM_PROJ")</f>
        <v/>
      </c>
      <c r="C170" s="23" t="str">
        <f t="shared" ref="C170:C179" si="89">IF($A170="*","","-")</f>
        <v/>
      </c>
      <c r="D170" s="61"/>
      <c r="E170" s="23" t="str">
        <f t="shared" ref="E170:I179" si="90">IF($A170="*","","-")</f>
        <v/>
      </c>
      <c r="F170" s="23" t="str">
        <f t="shared" si="90"/>
        <v/>
      </c>
      <c r="G170" s="23" t="str">
        <f t="shared" si="90"/>
        <v/>
      </c>
      <c r="H170" s="23"/>
      <c r="I170" s="23" t="str">
        <f t="shared" si="90"/>
        <v/>
      </c>
      <c r="K170" s="23">
        <f>K165</f>
        <v>2012</v>
      </c>
      <c r="L170" s="23">
        <f t="shared" ref="L170:AQ170" si="91">L165</f>
        <v>2013</v>
      </c>
      <c r="M170" s="23">
        <f t="shared" si="91"/>
        <v>2014</v>
      </c>
      <c r="N170" s="23">
        <f t="shared" si="91"/>
        <v>2015</v>
      </c>
      <c r="O170" s="23">
        <f t="shared" si="91"/>
        <v>2016</v>
      </c>
      <c r="P170" s="23">
        <f t="shared" si="91"/>
        <v>2017</v>
      </c>
      <c r="Q170" s="23">
        <f t="shared" si="91"/>
        <v>2018</v>
      </c>
      <c r="R170" s="23">
        <f t="shared" si="91"/>
        <v>2019</v>
      </c>
      <c r="S170" s="23">
        <f t="shared" si="91"/>
        <v>2020</v>
      </c>
      <c r="T170" s="23">
        <f t="shared" si="91"/>
        <v>2021</v>
      </c>
      <c r="U170" s="23">
        <f t="shared" si="91"/>
        <v>2022</v>
      </c>
      <c r="V170" s="23">
        <f t="shared" si="91"/>
        <v>2023</v>
      </c>
      <c r="W170" s="23">
        <f t="shared" si="91"/>
        <v>2024</v>
      </c>
      <c r="X170" s="23">
        <f t="shared" si="91"/>
        <v>2025</v>
      </c>
      <c r="Y170" s="23">
        <f t="shared" si="91"/>
        <v>2026</v>
      </c>
      <c r="Z170" s="23">
        <f t="shared" si="91"/>
        <v>2027</v>
      </c>
      <c r="AA170" s="23">
        <f t="shared" si="91"/>
        <v>2028</v>
      </c>
      <c r="AB170" s="23">
        <f t="shared" si="91"/>
        <v>2029</v>
      </c>
      <c r="AC170" s="23">
        <f t="shared" si="91"/>
        <v>2030</v>
      </c>
      <c r="AD170" s="23">
        <f t="shared" si="91"/>
        <v>2031</v>
      </c>
      <c r="AE170" s="23">
        <f t="shared" si="91"/>
        <v>2032</v>
      </c>
      <c r="AF170" s="23">
        <f t="shared" si="91"/>
        <v>2033</v>
      </c>
      <c r="AG170" s="23">
        <f t="shared" si="91"/>
        <v>2034</v>
      </c>
      <c r="AH170" s="23">
        <f t="shared" si="91"/>
        <v>2035</v>
      </c>
      <c r="AI170" s="23">
        <f t="shared" si="91"/>
        <v>2036</v>
      </c>
      <c r="AJ170" s="23">
        <f t="shared" si="91"/>
        <v>2037</v>
      </c>
      <c r="AK170" s="23">
        <f t="shared" si="91"/>
        <v>2038</v>
      </c>
      <c r="AL170" s="23">
        <f t="shared" si="91"/>
        <v>2039</v>
      </c>
      <c r="AM170" s="23">
        <f t="shared" si="91"/>
        <v>2040</v>
      </c>
      <c r="AN170" s="23">
        <f t="shared" si="91"/>
        <v>2041</v>
      </c>
      <c r="AO170" s="23">
        <f t="shared" si="91"/>
        <v>2042</v>
      </c>
      <c r="AP170" s="23">
        <f t="shared" si="91"/>
        <v>2043</v>
      </c>
      <c r="AQ170" s="23">
        <f t="shared" si="91"/>
        <v>2044</v>
      </c>
    </row>
    <row r="171" spans="1:78">
      <c r="A171" s="227" t="s">
        <v>17</v>
      </c>
      <c r="B171" s="22" t="str">
        <f t="shared" si="88"/>
        <v/>
      </c>
      <c r="C171" s="23" t="str">
        <f t="shared" si="89"/>
        <v/>
      </c>
      <c r="D171" s="61"/>
      <c r="E171" s="23" t="str">
        <f t="shared" si="90"/>
        <v/>
      </c>
      <c r="F171" s="23" t="str">
        <f t="shared" si="90"/>
        <v/>
      </c>
      <c r="G171" s="23" t="str">
        <f t="shared" si="90"/>
        <v/>
      </c>
      <c r="H171" s="23"/>
      <c r="I171" s="23" t="str">
        <f t="shared" si="90"/>
        <v/>
      </c>
      <c r="J171" s="159" t="str">
        <f t="shared" ref="J171:J183" si="92">B76</f>
        <v>TFLCV</v>
      </c>
      <c r="K171" s="228">
        <f>F43</f>
        <v>17.152485013399282</v>
      </c>
      <c r="L171" s="228">
        <f t="shared" ref="L171:AQ171" si="93">IF(L$169=-1,M171,IF(L$169=99,K171,IF(L$169=0,INDEX($F43:$L43,0,L$167),(INDEX($F43:$L43,0,L$169+1)-INDEX($F43:$L43,0,L$169))/(INDEX($F$4:$L$4,0,L$169+1)-INDEX($F$4:$L$4,0,L$169))+K171)))</f>
        <v>17.472694212740851</v>
      </c>
      <c r="M171" s="228">
        <f t="shared" si="93"/>
        <v>17.792903412082421</v>
      </c>
      <c r="N171" s="228">
        <f t="shared" si="93"/>
        <v>18.11311261142399</v>
      </c>
      <c r="O171" s="228">
        <f t="shared" si="93"/>
        <v>18.236224890116272</v>
      </c>
      <c r="P171" s="228">
        <f t="shared" si="93"/>
        <v>18.359337168808555</v>
      </c>
      <c r="Q171" s="228">
        <f t="shared" si="93"/>
        <v>18.482449447500837</v>
      </c>
      <c r="R171" s="228">
        <f t="shared" si="93"/>
        <v>18.60556172619312</v>
      </c>
      <c r="S171" s="228">
        <f t="shared" si="93"/>
        <v>18.359337168808555</v>
      </c>
      <c r="T171" s="228">
        <f t="shared" si="93"/>
        <v>18.481936861141634</v>
      </c>
      <c r="U171" s="228">
        <f t="shared" si="93"/>
        <v>18.604536553474713</v>
      </c>
      <c r="V171" s="228">
        <f t="shared" si="93"/>
        <v>18.727136245807792</v>
      </c>
      <c r="W171" s="228">
        <f t="shared" si="93"/>
        <v>18.849735938140871</v>
      </c>
      <c r="X171" s="228">
        <f t="shared" si="93"/>
        <v>18.97233563047395</v>
      </c>
      <c r="Y171" s="228">
        <f t="shared" si="93"/>
        <v>19.094935322807029</v>
      </c>
      <c r="Z171" s="228">
        <f t="shared" si="93"/>
        <v>19.217535015140108</v>
      </c>
      <c r="AA171" s="228">
        <f t="shared" si="93"/>
        <v>19.340134707473187</v>
      </c>
      <c r="AB171" s="228">
        <f t="shared" si="93"/>
        <v>19.462734399806266</v>
      </c>
      <c r="AC171" s="228">
        <f t="shared" si="93"/>
        <v>18.727136245807788</v>
      </c>
      <c r="AD171" s="228">
        <f t="shared" si="93"/>
        <v>18.996270962479493</v>
      </c>
      <c r="AE171" s="228">
        <f t="shared" si="93"/>
        <v>19.265405679151197</v>
      </c>
      <c r="AF171" s="228">
        <f t="shared" si="93"/>
        <v>19.534540395822901</v>
      </c>
      <c r="AG171" s="228">
        <f t="shared" si="93"/>
        <v>19.803675112494606</v>
      </c>
      <c r="AH171" s="228">
        <f t="shared" si="93"/>
        <v>20.07280982916631</v>
      </c>
      <c r="AI171" s="228">
        <f t="shared" si="93"/>
        <v>20.341944545838015</v>
      </c>
      <c r="AJ171" s="228">
        <f t="shared" si="93"/>
        <v>20.611079262509719</v>
      </c>
      <c r="AK171" s="228">
        <f t="shared" si="93"/>
        <v>20.880213979181423</v>
      </c>
      <c r="AL171" s="228">
        <f t="shared" si="93"/>
        <v>21.149348695853128</v>
      </c>
      <c r="AM171" s="228">
        <f t="shared" si="93"/>
        <v>21.418483412524825</v>
      </c>
      <c r="AN171" s="228">
        <f t="shared" si="93"/>
        <v>21.798076302066761</v>
      </c>
      <c r="AO171" s="228">
        <f t="shared" si="93"/>
        <v>25.214412307944187</v>
      </c>
      <c r="AP171" s="228">
        <f t="shared" si="93"/>
        <v>25.214412307944187</v>
      </c>
      <c r="AQ171" s="228">
        <f t="shared" si="93"/>
        <v>25.214412307944187</v>
      </c>
    </row>
    <row r="172" spans="1:78">
      <c r="A172" s="227" t="s">
        <v>17</v>
      </c>
      <c r="B172" s="22" t="str">
        <f t="shared" si="88"/>
        <v/>
      </c>
      <c r="C172" s="23" t="str">
        <f t="shared" si="89"/>
        <v/>
      </c>
      <c r="D172" s="61"/>
      <c r="E172" s="23" t="str">
        <f t="shared" si="90"/>
        <v/>
      </c>
      <c r="F172" s="23" t="str">
        <f t="shared" si="90"/>
        <v/>
      </c>
      <c r="G172" s="23" t="str">
        <f t="shared" si="90"/>
        <v/>
      </c>
      <c r="H172" s="23"/>
      <c r="I172" s="23" t="str">
        <f t="shared" si="90"/>
        <v/>
      </c>
      <c r="J172" s="159" t="str">
        <f t="shared" si="92"/>
        <v>TFHCV1</v>
      </c>
      <c r="K172" s="228">
        <f>F46</f>
        <v>4.9126336080498234</v>
      </c>
      <c r="L172" s="228">
        <f t="shared" ref="L172:AQ172" si="94">IF(L$169=-1,M172,IF(L$169=99,K172,IF(L$169=0,INDEX($F46:$L46,0,L$167),(INDEX($F46:$L46,0,L$169+1)-INDEX($F46:$L46,0,L$169))/(INDEX($F$4:$L$4,0,L$169+1)-INDEX($F$4:$L$4,0,L$169))+K172)))</f>
        <v>5.0043445451567941</v>
      </c>
      <c r="M172" s="228">
        <f t="shared" si="94"/>
        <v>5.0960554822637647</v>
      </c>
      <c r="N172" s="228">
        <f t="shared" si="94"/>
        <v>5.1877664193707353</v>
      </c>
      <c r="O172" s="228">
        <f t="shared" si="94"/>
        <v>5.2230269380299763</v>
      </c>
      <c r="P172" s="228">
        <f t="shared" si="94"/>
        <v>5.2582874566892173</v>
      </c>
      <c r="Q172" s="228">
        <f t="shared" si="94"/>
        <v>5.2935479753484582</v>
      </c>
      <c r="R172" s="228">
        <f t="shared" si="94"/>
        <v>5.3288084940076992</v>
      </c>
      <c r="S172" s="228">
        <f t="shared" si="94"/>
        <v>5.2582874566892164</v>
      </c>
      <c r="T172" s="228">
        <f t="shared" si="94"/>
        <v>5.29340116577694</v>
      </c>
      <c r="U172" s="228">
        <f t="shared" si="94"/>
        <v>5.3285148748646636</v>
      </c>
      <c r="V172" s="228">
        <f t="shared" si="94"/>
        <v>5.3636285839523872</v>
      </c>
      <c r="W172" s="228">
        <f t="shared" si="94"/>
        <v>5.3987422930401108</v>
      </c>
      <c r="X172" s="228">
        <f t="shared" si="94"/>
        <v>5.4338560021278344</v>
      </c>
      <c r="Y172" s="228">
        <f t="shared" si="94"/>
        <v>5.468969711215558</v>
      </c>
      <c r="Z172" s="228">
        <f t="shared" si="94"/>
        <v>5.5040834203032816</v>
      </c>
      <c r="AA172" s="228">
        <f t="shared" si="94"/>
        <v>5.5391971293910052</v>
      </c>
      <c r="AB172" s="228">
        <f t="shared" si="94"/>
        <v>5.5743108384787288</v>
      </c>
      <c r="AC172" s="228">
        <f t="shared" si="94"/>
        <v>5.3636285839523863</v>
      </c>
      <c r="AD172" s="228">
        <f t="shared" si="94"/>
        <v>5.4407113071369002</v>
      </c>
      <c r="AE172" s="228">
        <f t="shared" si="94"/>
        <v>5.5177940303214141</v>
      </c>
      <c r="AF172" s="228">
        <f t="shared" si="94"/>
        <v>5.5948767535059281</v>
      </c>
      <c r="AG172" s="228">
        <f t="shared" si="94"/>
        <v>5.671959476690442</v>
      </c>
      <c r="AH172" s="228">
        <f t="shared" si="94"/>
        <v>5.7490421998749559</v>
      </c>
      <c r="AI172" s="228">
        <f t="shared" si="94"/>
        <v>5.8261249230594698</v>
      </c>
      <c r="AJ172" s="228">
        <f t="shared" si="94"/>
        <v>5.9032076462439838</v>
      </c>
      <c r="AK172" s="228">
        <f t="shared" si="94"/>
        <v>5.9802903694284977</v>
      </c>
      <c r="AL172" s="228">
        <f t="shared" si="94"/>
        <v>6.0573730926130116</v>
      </c>
      <c r="AM172" s="228">
        <f t="shared" si="94"/>
        <v>6.1344558157975246</v>
      </c>
      <c r="AN172" s="228">
        <f t="shared" si="94"/>
        <v>6.2431748022932831</v>
      </c>
      <c r="AO172" s="228">
        <f t="shared" si="94"/>
        <v>7.2216456807551106</v>
      </c>
      <c r="AP172" s="228">
        <f t="shared" si="94"/>
        <v>7.2216456807551106</v>
      </c>
      <c r="AQ172" s="228">
        <f t="shared" si="94"/>
        <v>7.2216456807551106</v>
      </c>
      <c r="AZ172" s="228"/>
      <c r="BA172" s="228"/>
      <c r="BB172" s="228"/>
      <c r="BC172" s="228"/>
      <c r="BD172" s="228"/>
      <c r="BE172" s="228"/>
    </row>
    <row r="173" spans="1:78">
      <c r="A173" s="227" t="s">
        <v>17</v>
      </c>
      <c r="B173" s="22" t="str">
        <f t="shared" si="88"/>
        <v/>
      </c>
      <c r="C173" s="23" t="str">
        <f t="shared" si="89"/>
        <v/>
      </c>
      <c r="D173" s="61"/>
      <c r="E173" s="23" t="str">
        <f t="shared" si="90"/>
        <v/>
      </c>
      <c r="F173" s="23" t="str">
        <f t="shared" si="90"/>
        <v/>
      </c>
      <c r="G173" s="23" t="str">
        <f t="shared" si="90"/>
        <v/>
      </c>
      <c r="H173" s="23"/>
      <c r="I173" s="23" t="str">
        <f t="shared" si="90"/>
        <v/>
      </c>
      <c r="J173" s="159" t="str">
        <f t="shared" si="92"/>
        <v>TFHCV2</v>
      </c>
      <c r="K173" s="228">
        <f t="shared" ref="K173:K180" si="95">F51</f>
        <v>1.637618085804339</v>
      </c>
      <c r="L173" s="228">
        <f t="shared" ref="L173:AQ180" si="96">IF(L$169=-1,M173,IF(L$169=99,K173,IF(L$169=0,INDEX($F51:$L51,0,L$167),(INDEX($F51:$L51,0,L$169+1)-INDEX($F51:$L51,0,L$169))/(INDEX($F$4:$L$4,0,L$169+1)-INDEX($F$4:$L$4,0,L$169))+K173)))</f>
        <v>1.6681897712291065</v>
      </c>
      <c r="M173" s="228">
        <f t="shared" si="96"/>
        <v>1.698761456653874</v>
      </c>
      <c r="N173" s="228">
        <f t="shared" si="96"/>
        <v>1.7293331420786413</v>
      </c>
      <c r="O173" s="228">
        <f t="shared" si="96"/>
        <v>1.7410871762033509</v>
      </c>
      <c r="P173" s="228">
        <f t="shared" si="96"/>
        <v>1.7528412103280604</v>
      </c>
      <c r="Q173" s="228">
        <f t="shared" si="96"/>
        <v>1.7645952444527699</v>
      </c>
      <c r="R173" s="228">
        <f t="shared" si="96"/>
        <v>1.7763492785774795</v>
      </c>
      <c r="S173" s="228">
        <f t="shared" si="96"/>
        <v>1.7528412103280606</v>
      </c>
      <c r="T173" s="228">
        <f t="shared" si="96"/>
        <v>1.7645463057309632</v>
      </c>
      <c r="U173" s="228">
        <f t="shared" si="96"/>
        <v>1.7762514011338657</v>
      </c>
      <c r="V173" s="228">
        <f t="shared" si="96"/>
        <v>1.7879564965367682</v>
      </c>
      <c r="W173" s="228">
        <f t="shared" si="96"/>
        <v>1.7996615919396708</v>
      </c>
      <c r="X173" s="228">
        <f t="shared" si="96"/>
        <v>1.8113666873425733</v>
      </c>
      <c r="Y173" s="228">
        <f t="shared" si="96"/>
        <v>1.8230717827454759</v>
      </c>
      <c r="Z173" s="228">
        <f t="shared" si="96"/>
        <v>1.8347768781483784</v>
      </c>
      <c r="AA173" s="228">
        <f t="shared" si="96"/>
        <v>1.846481973551281</v>
      </c>
      <c r="AB173" s="228">
        <f t="shared" si="96"/>
        <v>1.8581870689541835</v>
      </c>
      <c r="AC173" s="228">
        <f t="shared" si="96"/>
        <v>1.7879564965367685</v>
      </c>
      <c r="AD173" s="228">
        <f t="shared" si="96"/>
        <v>1.8136518916468711</v>
      </c>
      <c r="AE173" s="228">
        <f t="shared" si="96"/>
        <v>1.8393472867569738</v>
      </c>
      <c r="AF173" s="228">
        <f t="shared" si="96"/>
        <v>1.8650426818670764</v>
      </c>
      <c r="AG173" s="228">
        <f t="shared" si="96"/>
        <v>1.8907380769771791</v>
      </c>
      <c r="AH173" s="228">
        <f t="shared" si="96"/>
        <v>1.9164334720872818</v>
      </c>
      <c r="AI173" s="228">
        <f t="shared" si="96"/>
        <v>1.9421288671973844</v>
      </c>
      <c r="AJ173" s="228">
        <f t="shared" si="96"/>
        <v>1.9678242623074871</v>
      </c>
      <c r="AK173" s="228">
        <f t="shared" si="96"/>
        <v>1.9935196574175897</v>
      </c>
      <c r="AL173" s="228">
        <f t="shared" si="96"/>
        <v>2.0192150525276924</v>
      </c>
      <c r="AM173" s="228">
        <f t="shared" si="96"/>
        <v>2.0449104476377946</v>
      </c>
      <c r="AN173" s="228">
        <f t="shared" si="96"/>
        <v>2.081151737495853</v>
      </c>
      <c r="AO173" s="228">
        <f t="shared" si="96"/>
        <v>2.4073233462183765</v>
      </c>
      <c r="AP173" s="228">
        <f t="shared" si="96"/>
        <v>2.4073233462183765</v>
      </c>
      <c r="AQ173" s="228">
        <f t="shared" si="96"/>
        <v>2.4073233462183765</v>
      </c>
      <c r="AZ173" s="228"/>
      <c r="BA173" s="228"/>
      <c r="BB173" s="228"/>
      <c r="BC173" s="228"/>
      <c r="BD173" s="228"/>
      <c r="BE173" s="228"/>
    </row>
    <row r="174" spans="1:78">
      <c r="A174" s="227" t="s">
        <v>17</v>
      </c>
      <c r="B174" s="22" t="str">
        <f t="shared" si="88"/>
        <v/>
      </c>
      <c r="C174" s="23" t="str">
        <f t="shared" si="89"/>
        <v/>
      </c>
      <c r="D174" s="61"/>
      <c r="E174" s="23" t="str">
        <f t="shared" si="90"/>
        <v/>
      </c>
      <c r="F174" s="23" t="str">
        <f t="shared" si="90"/>
        <v/>
      </c>
      <c r="G174" s="23" t="str">
        <f t="shared" si="90"/>
        <v/>
      </c>
      <c r="H174" s="23"/>
      <c r="I174" s="23" t="str">
        <f t="shared" si="90"/>
        <v/>
      </c>
      <c r="J174" s="159" t="str">
        <f t="shared" si="92"/>
        <v>TFHCV3</v>
      </c>
      <c r="K174" s="228">
        <f t="shared" si="95"/>
        <v>10.467275163694032</v>
      </c>
      <c r="L174" s="228">
        <f t="shared" si="96"/>
        <v>10.66268228964902</v>
      </c>
      <c r="M174" s="228">
        <f t="shared" si="96"/>
        <v>10.858089415604008</v>
      </c>
      <c r="N174" s="228">
        <f t="shared" si="96"/>
        <v>11.053496541558998</v>
      </c>
      <c r="O174" s="228">
        <f t="shared" si="96"/>
        <v>11.128625602805506</v>
      </c>
      <c r="P174" s="228">
        <f t="shared" si="96"/>
        <v>11.203754664052015</v>
      </c>
      <c r="Q174" s="228">
        <f t="shared" si="96"/>
        <v>11.278883725298524</v>
      </c>
      <c r="R174" s="228">
        <f t="shared" si="96"/>
        <v>11.354012786545033</v>
      </c>
      <c r="S174" s="228">
        <f t="shared" si="96"/>
        <v>11.203754664052015</v>
      </c>
      <c r="T174" s="228">
        <f t="shared" si="96"/>
        <v>11.278570920333951</v>
      </c>
      <c r="U174" s="228">
        <f t="shared" si="96"/>
        <v>11.353387176615888</v>
      </c>
      <c r="V174" s="228">
        <f t="shared" si="96"/>
        <v>11.428203432897824</v>
      </c>
      <c r="W174" s="228">
        <f t="shared" si="96"/>
        <v>11.50301968917976</v>
      </c>
      <c r="X174" s="228">
        <f t="shared" si="96"/>
        <v>11.577835945461697</v>
      </c>
      <c r="Y174" s="228">
        <f t="shared" si="96"/>
        <v>11.652652201743633</v>
      </c>
      <c r="Z174" s="228">
        <f t="shared" si="96"/>
        <v>11.727468458025569</v>
      </c>
      <c r="AA174" s="228">
        <f t="shared" si="96"/>
        <v>11.802284714307506</v>
      </c>
      <c r="AB174" s="228">
        <f t="shared" si="96"/>
        <v>11.877100970589442</v>
      </c>
      <c r="AC174" s="228">
        <f t="shared" si="96"/>
        <v>11.428203432897824</v>
      </c>
      <c r="AD174" s="228">
        <f t="shared" si="96"/>
        <v>11.592442441607341</v>
      </c>
      <c r="AE174" s="228">
        <f t="shared" si="96"/>
        <v>11.756681450316858</v>
      </c>
      <c r="AF174" s="228">
        <f t="shared" si="96"/>
        <v>11.920920459026375</v>
      </c>
      <c r="AG174" s="228">
        <f t="shared" si="96"/>
        <v>12.085159467735892</v>
      </c>
      <c r="AH174" s="228">
        <f t="shared" si="96"/>
        <v>12.249398476445409</v>
      </c>
      <c r="AI174" s="228">
        <f t="shared" si="96"/>
        <v>12.413637485154926</v>
      </c>
      <c r="AJ174" s="228">
        <f t="shared" si="96"/>
        <v>12.577876493864443</v>
      </c>
      <c r="AK174" s="228">
        <f t="shared" si="96"/>
        <v>12.742115502573959</v>
      </c>
      <c r="AL174" s="228">
        <f t="shared" si="96"/>
        <v>12.906354511283476</v>
      </c>
      <c r="AM174" s="228">
        <f t="shared" si="96"/>
        <v>13.070593519992999</v>
      </c>
      <c r="AN174" s="228">
        <f t="shared" si="96"/>
        <v>13.302239443129691</v>
      </c>
      <c r="AO174" s="228">
        <f t="shared" si="96"/>
        <v>15.387052751359921</v>
      </c>
      <c r="AP174" s="228">
        <f t="shared" si="96"/>
        <v>15.387052751359921</v>
      </c>
      <c r="AQ174" s="228">
        <f t="shared" si="96"/>
        <v>15.387052751359921</v>
      </c>
      <c r="AZ174" s="228"/>
      <c r="BA174" s="228"/>
      <c r="BB174" s="228"/>
      <c r="BC174" s="228"/>
      <c r="BD174" s="228"/>
      <c r="BE174" s="228"/>
    </row>
    <row r="175" spans="1:78">
      <c r="A175" s="227" t="s">
        <v>17</v>
      </c>
      <c r="B175" s="22" t="str">
        <f t="shared" si="88"/>
        <v/>
      </c>
      <c r="C175" s="23" t="str">
        <f t="shared" si="89"/>
        <v/>
      </c>
      <c r="D175" s="61"/>
      <c r="E175" s="23" t="str">
        <f t="shared" si="90"/>
        <v/>
      </c>
      <c r="F175" s="23" t="str">
        <f t="shared" si="90"/>
        <v/>
      </c>
      <c r="G175" s="23" t="str">
        <f t="shared" si="90"/>
        <v/>
      </c>
      <c r="H175" s="23"/>
      <c r="I175" s="23" t="str">
        <f t="shared" si="90"/>
        <v/>
      </c>
      <c r="J175" s="159" t="str">
        <f t="shared" si="92"/>
        <v>TFHCV4</v>
      </c>
      <c r="K175" s="228">
        <f t="shared" si="95"/>
        <v>3.423667084889694</v>
      </c>
      <c r="L175" s="228">
        <f t="shared" si="96"/>
        <v>3.4875814212210305</v>
      </c>
      <c r="M175" s="228">
        <f t="shared" si="96"/>
        <v>3.5514957575523671</v>
      </c>
      <c r="N175" s="228">
        <f t="shared" si="96"/>
        <v>3.6154100938837042</v>
      </c>
      <c r="O175" s="228">
        <f t="shared" si="96"/>
        <v>3.6399835277607937</v>
      </c>
      <c r="P175" s="228">
        <f t="shared" si="96"/>
        <v>3.6645569616378832</v>
      </c>
      <c r="Q175" s="228">
        <f t="shared" si="96"/>
        <v>3.6891303955149728</v>
      </c>
      <c r="R175" s="228">
        <f t="shared" si="96"/>
        <v>3.7137038293920623</v>
      </c>
      <c r="S175" s="228">
        <f t="shared" si="96"/>
        <v>3.6645569616378832</v>
      </c>
      <c r="T175" s="228">
        <f t="shared" si="96"/>
        <v>3.6890280823489907</v>
      </c>
      <c r="U175" s="228">
        <f t="shared" si="96"/>
        <v>3.7134992030600982</v>
      </c>
      <c r="V175" s="228">
        <f t="shared" si="96"/>
        <v>3.7379703237712056</v>
      </c>
      <c r="W175" s="228">
        <f t="shared" si="96"/>
        <v>3.7624414444823131</v>
      </c>
      <c r="X175" s="228">
        <f t="shared" si="96"/>
        <v>3.7869125651934206</v>
      </c>
      <c r="Y175" s="228">
        <f t="shared" si="96"/>
        <v>3.811383685904528</v>
      </c>
      <c r="Z175" s="228">
        <f t="shared" si="96"/>
        <v>3.8358548066156355</v>
      </c>
      <c r="AA175" s="228">
        <f t="shared" si="96"/>
        <v>3.860325927326743</v>
      </c>
      <c r="AB175" s="228">
        <f t="shared" si="96"/>
        <v>3.8847970480378504</v>
      </c>
      <c r="AC175" s="228">
        <f t="shared" si="96"/>
        <v>3.7379703237712061</v>
      </c>
      <c r="AD175" s="228">
        <f t="shared" si="96"/>
        <v>3.7916901008268464</v>
      </c>
      <c r="AE175" s="228">
        <f t="shared" si="96"/>
        <v>3.8454098778824868</v>
      </c>
      <c r="AF175" s="228">
        <f t="shared" si="96"/>
        <v>3.8991296549381271</v>
      </c>
      <c r="AG175" s="228">
        <f t="shared" si="96"/>
        <v>3.9528494319937675</v>
      </c>
      <c r="AH175" s="228">
        <f t="shared" si="96"/>
        <v>4.0065692090494078</v>
      </c>
      <c r="AI175" s="228">
        <f t="shared" si="96"/>
        <v>4.0602889861050482</v>
      </c>
      <c r="AJ175" s="228">
        <f t="shared" si="96"/>
        <v>4.1140087631606885</v>
      </c>
      <c r="AK175" s="228">
        <f t="shared" si="96"/>
        <v>4.1677285402163289</v>
      </c>
      <c r="AL175" s="228">
        <f t="shared" si="96"/>
        <v>4.2214483172719692</v>
      </c>
      <c r="AM175" s="228">
        <f t="shared" si="96"/>
        <v>4.2751680943276114</v>
      </c>
      <c r="AN175" s="228">
        <f t="shared" si="96"/>
        <v>4.3509355228120361</v>
      </c>
      <c r="AO175" s="228">
        <f t="shared" si="96"/>
        <v>5.0328423791718579</v>
      </c>
      <c r="AP175" s="228">
        <f t="shared" si="96"/>
        <v>5.0328423791718579</v>
      </c>
      <c r="AQ175" s="228">
        <f t="shared" si="96"/>
        <v>5.0328423791718579</v>
      </c>
      <c r="AZ175" s="228"/>
      <c r="BA175" s="228"/>
      <c r="BB175" s="228"/>
      <c r="BC175" s="228"/>
      <c r="BD175" s="228"/>
      <c r="BE175" s="228"/>
    </row>
    <row r="176" spans="1:78">
      <c r="A176" s="227" t="s">
        <v>17</v>
      </c>
      <c r="B176" s="22" t="str">
        <f t="shared" si="88"/>
        <v/>
      </c>
      <c r="C176" s="23" t="str">
        <f t="shared" si="89"/>
        <v/>
      </c>
      <c r="D176" s="61"/>
      <c r="E176" s="23" t="str">
        <f t="shared" si="90"/>
        <v/>
      </c>
      <c r="F176" s="23" t="str">
        <f t="shared" si="90"/>
        <v/>
      </c>
      <c r="G176" s="23" t="str">
        <f t="shared" si="90"/>
        <v/>
      </c>
      <c r="H176" s="23"/>
      <c r="I176" s="23" t="str">
        <f t="shared" si="90"/>
        <v/>
      </c>
      <c r="J176" s="159" t="str">
        <f t="shared" si="92"/>
        <v>TFHCV5</v>
      </c>
      <c r="K176" s="228">
        <f t="shared" si="95"/>
        <v>2.0433999272590588</v>
      </c>
      <c r="L176" s="228">
        <f t="shared" si="96"/>
        <v>2.0815469044539729</v>
      </c>
      <c r="M176" s="228">
        <f t="shared" si="96"/>
        <v>2.1196938816488871</v>
      </c>
      <c r="N176" s="228">
        <f t="shared" si="96"/>
        <v>2.1578408588438007</v>
      </c>
      <c r="O176" s="228">
        <f t="shared" si="96"/>
        <v>2.1725073996469546</v>
      </c>
      <c r="P176" s="228">
        <f t="shared" si="96"/>
        <v>2.1871739404501085</v>
      </c>
      <c r="Q176" s="228">
        <f t="shared" si="96"/>
        <v>2.2018404812532624</v>
      </c>
      <c r="R176" s="228">
        <f t="shared" si="96"/>
        <v>2.2165070220564163</v>
      </c>
      <c r="S176" s="228">
        <f t="shared" si="96"/>
        <v>2.1871739404501085</v>
      </c>
      <c r="T176" s="228">
        <f t="shared" si="96"/>
        <v>2.201779416111489</v>
      </c>
      <c r="U176" s="228">
        <f t="shared" si="96"/>
        <v>2.2163848917728695</v>
      </c>
      <c r="V176" s="228">
        <f t="shared" si="96"/>
        <v>2.2309903674342499</v>
      </c>
      <c r="W176" s="228">
        <f t="shared" si="96"/>
        <v>2.2455958430956304</v>
      </c>
      <c r="X176" s="228">
        <f t="shared" si="96"/>
        <v>2.2602013187570109</v>
      </c>
      <c r="Y176" s="228">
        <f t="shared" si="96"/>
        <v>2.2748067944183914</v>
      </c>
      <c r="Z176" s="228">
        <f t="shared" si="96"/>
        <v>2.2894122700797719</v>
      </c>
      <c r="AA176" s="228">
        <f t="shared" si="96"/>
        <v>2.3040177457411524</v>
      </c>
      <c r="AB176" s="228">
        <f t="shared" si="96"/>
        <v>2.3186232214025329</v>
      </c>
      <c r="AC176" s="228">
        <f t="shared" si="96"/>
        <v>2.2309903674342495</v>
      </c>
      <c r="AD176" s="228">
        <f t="shared" si="96"/>
        <v>2.2630527688903785</v>
      </c>
      <c r="AE176" s="228">
        <f t="shared" si="96"/>
        <v>2.2951151703465076</v>
      </c>
      <c r="AF176" s="228">
        <f t="shared" si="96"/>
        <v>2.3271775718026366</v>
      </c>
      <c r="AG176" s="228">
        <f t="shared" si="96"/>
        <v>2.3592399732587657</v>
      </c>
      <c r="AH176" s="228">
        <f t="shared" si="96"/>
        <v>2.3913023747148947</v>
      </c>
      <c r="AI176" s="228">
        <f t="shared" si="96"/>
        <v>2.4233647761710237</v>
      </c>
      <c r="AJ176" s="228">
        <f t="shared" si="96"/>
        <v>2.4554271776271528</v>
      </c>
      <c r="AK176" s="228">
        <f t="shared" si="96"/>
        <v>2.4874895790832818</v>
      </c>
      <c r="AL176" s="228">
        <f t="shared" si="96"/>
        <v>2.5195519805394109</v>
      </c>
      <c r="AM176" s="228">
        <f t="shared" si="96"/>
        <v>2.5516143819955408</v>
      </c>
      <c r="AN176" s="228">
        <f t="shared" si="96"/>
        <v>2.5968358226364807</v>
      </c>
      <c r="AO176" s="228">
        <f t="shared" si="96"/>
        <v>3.0038287884049404</v>
      </c>
      <c r="AP176" s="228">
        <f t="shared" si="96"/>
        <v>3.0038287884049404</v>
      </c>
      <c r="AQ176" s="228">
        <f t="shared" si="96"/>
        <v>3.0038287884049404</v>
      </c>
      <c r="AZ176" s="228"/>
      <c r="BA176" s="228"/>
      <c r="BB176" s="228"/>
      <c r="BC176" s="228"/>
      <c r="BD176" s="228"/>
      <c r="BE176" s="228"/>
    </row>
    <row r="177" spans="1:57">
      <c r="A177" s="227" t="s">
        <v>17</v>
      </c>
      <c r="B177" s="22" t="str">
        <f t="shared" si="88"/>
        <v/>
      </c>
      <c r="C177" s="23" t="str">
        <f t="shared" si="89"/>
        <v/>
      </c>
      <c r="D177" s="61"/>
      <c r="E177" s="23" t="str">
        <f t="shared" si="90"/>
        <v/>
      </c>
      <c r="F177" s="23" t="str">
        <f t="shared" si="90"/>
        <v/>
      </c>
      <c r="G177" s="23" t="str">
        <f t="shared" si="90"/>
        <v/>
      </c>
      <c r="H177" s="23"/>
      <c r="I177" s="23" t="str">
        <f t="shared" si="90"/>
        <v/>
      </c>
      <c r="J177" s="159" t="str">
        <f t="shared" si="92"/>
        <v>TFHCV6</v>
      </c>
      <c r="K177" s="228">
        <f t="shared" si="95"/>
        <v>51.883602656707552</v>
      </c>
      <c r="L177" s="228">
        <f t="shared" si="96"/>
        <v>52.852185742638376</v>
      </c>
      <c r="M177" s="228">
        <f t="shared" si="96"/>
        <v>53.8207688285692</v>
      </c>
      <c r="N177" s="228">
        <f t="shared" si="96"/>
        <v>54.789351914500017</v>
      </c>
      <c r="O177" s="228">
        <f t="shared" si="96"/>
        <v>55.161747432982757</v>
      </c>
      <c r="P177" s="228">
        <f t="shared" si="96"/>
        <v>55.534142951465498</v>
      </c>
      <c r="Q177" s="228">
        <f t="shared" si="96"/>
        <v>55.906538469948238</v>
      </c>
      <c r="R177" s="228">
        <f t="shared" si="96"/>
        <v>56.278933988430978</v>
      </c>
      <c r="S177" s="228">
        <f t="shared" si="96"/>
        <v>55.534142951465498</v>
      </c>
      <c r="T177" s="228">
        <f t="shared" si="96"/>
        <v>55.904987975838054</v>
      </c>
      <c r="U177" s="228">
        <f t="shared" si="96"/>
        <v>56.275833000210611</v>
      </c>
      <c r="V177" s="228">
        <f t="shared" si="96"/>
        <v>56.646678024583167</v>
      </c>
      <c r="W177" s="228">
        <f t="shared" si="96"/>
        <v>57.017523048955724</v>
      </c>
      <c r="X177" s="228">
        <f t="shared" si="96"/>
        <v>57.38836807332828</v>
      </c>
      <c r="Y177" s="228">
        <f t="shared" si="96"/>
        <v>57.759213097700837</v>
      </c>
      <c r="Z177" s="228">
        <f t="shared" si="96"/>
        <v>58.130058122073393</v>
      </c>
      <c r="AA177" s="228">
        <f t="shared" si="96"/>
        <v>58.50090314644595</v>
      </c>
      <c r="AB177" s="228">
        <f t="shared" si="96"/>
        <v>58.871748170818506</v>
      </c>
      <c r="AC177" s="228">
        <f t="shared" si="96"/>
        <v>56.646678024583167</v>
      </c>
      <c r="AD177" s="228">
        <f t="shared" si="96"/>
        <v>57.460768734472261</v>
      </c>
      <c r="AE177" s="228">
        <f t="shared" si="96"/>
        <v>58.274859444361354</v>
      </c>
      <c r="AF177" s="228">
        <f t="shared" si="96"/>
        <v>59.088950154250448</v>
      </c>
      <c r="AG177" s="228">
        <f t="shared" si="96"/>
        <v>59.903040864139541</v>
      </c>
      <c r="AH177" s="228">
        <f t="shared" si="96"/>
        <v>60.717131574028635</v>
      </c>
      <c r="AI177" s="228">
        <f t="shared" si="96"/>
        <v>61.531222283917728</v>
      </c>
      <c r="AJ177" s="228">
        <f t="shared" si="96"/>
        <v>62.345312993806822</v>
      </c>
      <c r="AK177" s="228">
        <f t="shared" si="96"/>
        <v>63.159403703695915</v>
      </c>
      <c r="AL177" s="228">
        <f t="shared" si="96"/>
        <v>63.973494413585009</v>
      </c>
      <c r="AM177" s="228">
        <f t="shared" si="96"/>
        <v>64.787585123474088</v>
      </c>
      <c r="AN177" s="228">
        <f t="shared" si="96"/>
        <v>65.935794647453861</v>
      </c>
      <c r="AO177" s="228">
        <f t="shared" si="96"/>
        <v>76.26968036327176</v>
      </c>
      <c r="AP177" s="228">
        <f t="shared" si="96"/>
        <v>76.26968036327176</v>
      </c>
      <c r="AQ177" s="228">
        <f t="shared" si="96"/>
        <v>76.26968036327176</v>
      </c>
      <c r="AZ177" s="228"/>
      <c r="BA177" s="228"/>
      <c r="BB177" s="228"/>
      <c r="BC177" s="228"/>
      <c r="BD177" s="228"/>
      <c r="BE177" s="228"/>
    </row>
    <row r="178" spans="1:57">
      <c r="A178" s="227" t="s">
        <v>17</v>
      </c>
      <c r="B178" s="22" t="str">
        <f t="shared" si="88"/>
        <v/>
      </c>
      <c r="C178" s="23" t="str">
        <f t="shared" si="89"/>
        <v/>
      </c>
      <c r="D178" s="61"/>
      <c r="E178" s="23" t="str">
        <f t="shared" si="90"/>
        <v/>
      </c>
      <c r="F178" s="23" t="str">
        <f t="shared" si="90"/>
        <v/>
      </c>
      <c r="G178" s="23" t="str">
        <f t="shared" si="90"/>
        <v/>
      </c>
      <c r="H178" s="23"/>
      <c r="I178" s="23" t="str">
        <f t="shared" si="90"/>
        <v/>
      </c>
      <c r="J178" s="159" t="str">
        <f t="shared" si="92"/>
        <v>TFHCV7</v>
      </c>
      <c r="K178" s="228">
        <f t="shared" si="95"/>
        <v>21.803352870590057</v>
      </c>
      <c r="L178" s="228">
        <f t="shared" si="96"/>
        <v>22.210386263139267</v>
      </c>
      <c r="M178" s="228">
        <f t="shared" si="96"/>
        <v>22.617419655688476</v>
      </c>
      <c r="N178" s="228">
        <f t="shared" si="96"/>
        <v>23.024453048237682</v>
      </c>
      <c r="O178" s="228">
        <f t="shared" si="96"/>
        <v>23.180947017066885</v>
      </c>
      <c r="P178" s="228">
        <f t="shared" si="96"/>
        <v>23.337440985896087</v>
      </c>
      <c r="Q178" s="228">
        <f t="shared" si="96"/>
        <v>23.49393495472529</v>
      </c>
      <c r="R178" s="228">
        <f t="shared" si="96"/>
        <v>23.650428923554493</v>
      </c>
      <c r="S178" s="228">
        <f t="shared" si="96"/>
        <v>23.337440985896087</v>
      </c>
      <c r="T178" s="228">
        <f t="shared" si="96"/>
        <v>23.493283381425112</v>
      </c>
      <c r="U178" s="228">
        <f t="shared" si="96"/>
        <v>23.649125776954136</v>
      </c>
      <c r="V178" s="228">
        <f t="shared" si="96"/>
        <v>23.804968172483161</v>
      </c>
      <c r="W178" s="228">
        <f t="shared" si="96"/>
        <v>23.960810568012185</v>
      </c>
      <c r="X178" s="228">
        <f t="shared" si="96"/>
        <v>24.11665296354121</v>
      </c>
      <c r="Y178" s="228">
        <f t="shared" si="96"/>
        <v>24.272495359070234</v>
      </c>
      <c r="Z178" s="228">
        <f t="shared" si="96"/>
        <v>24.428337754599259</v>
      </c>
      <c r="AA178" s="228">
        <f t="shared" si="96"/>
        <v>24.584180150128283</v>
      </c>
      <c r="AB178" s="228">
        <f t="shared" si="96"/>
        <v>24.740022545657308</v>
      </c>
      <c r="AC178" s="228">
        <f t="shared" si="96"/>
        <v>23.804968172483164</v>
      </c>
      <c r="AD178" s="228">
        <f t="shared" si="96"/>
        <v>24.147078321113838</v>
      </c>
      <c r="AE178" s="228">
        <f t="shared" si="96"/>
        <v>24.489188469744512</v>
      </c>
      <c r="AF178" s="228">
        <f t="shared" si="96"/>
        <v>24.831298618375186</v>
      </c>
      <c r="AG178" s="228">
        <f t="shared" si="96"/>
        <v>25.17340876700586</v>
      </c>
      <c r="AH178" s="228">
        <f t="shared" si="96"/>
        <v>25.515518915636534</v>
      </c>
      <c r="AI178" s="228">
        <f t="shared" si="96"/>
        <v>25.857629064267208</v>
      </c>
      <c r="AJ178" s="228">
        <f t="shared" si="96"/>
        <v>26.199739212897882</v>
      </c>
      <c r="AK178" s="228">
        <f t="shared" si="96"/>
        <v>26.541849361528556</v>
      </c>
      <c r="AL178" s="228">
        <f t="shared" si="96"/>
        <v>26.883959510159229</v>
      </c>
      <c r="AM178" s="228">
        <f t="shared" si="96"/>
        <v>27.2260696587899</v>
      </c>
      <c r="AN178" s="228">
        <f t="shared" si="96"/>
        <v>27.708588530625924</v>
      </c>
      <c r="AO178" s="228">
        <f t="shared" si="96"/>
        <v>32.051258377150148</v>
      </c>
      <c r="AP178" s="228">
        <f t="shared" si="96"/>
        <v>32.051258377150148</v>
      </c>
      <c r="AQ178" s="228">
        <f t="shared" si="96"/>
        <v>32.051258377150148</v>
      </c>
      <c r="AZ178" s="228"/>
      <c r="BA178" s="228"/>
      <c r="BB178" s="228"/>
      <c r="BC178" s="228"/>
      <c r="BD178" s="228"/>
      <c r="BE178" s="228"/>
    </row>
    <row r="179" spans="1:57">
      <c r="A179" s="227" t="s">
        <v>17</v>
      </c>
      <c r="B179" s="22" t="str">
        <f t="shared" si="88"/>
        <v/>
      </c>
      <c r="C179" s="23" t="str">
        <f t="shared" si="89"/>
        <v/>
      </c>
      <c r="D179" s="61"/>
      <c r="E179" s="23" t="str">
        <f t="shared" si="90"/>
        <v/>
      </c>
      <c r="F179" s="23" t="str">
        <f t="shared" si="90"/>
        <v/>
      </c>
      <c r="G179" s="23" t="str">
        <f t="shared" si="90"/>
        <v/>
      </c>
      <c r="H179" s="23"/>
      <c r="I179" s="23" t="str">
        <f t="shared" si="90"/>
        <v/>
      </c>
      <c r="J179" s="159" t="str">
        <f t="shared" si="92"/>
        <v>TFHCV8</v>
      </c>
      <c r="K179" s="228">
        <f t="shared" si="95"/>
        <v>1.0249985708336284</v>
      </c>
      <c r="L179" s="228">
        <f t="shared" si="96"/>
        <v>1.0441336391013747</v>
      </c>
      <c r="M179" s="228">
        <f t="shared" si="96"/>
        <v>1.0632687073691209</v>
      </c>
      <c r="N179" s="228">
        <f t="shared" si="96"/>
        <v>1.0824037756368672</v>
      </c>
      <c r="O179" s="228">
        <f t="shared" si="96"/>
        <v>1.0897607218527119</v>
      </c>
      <c r="P179" s="228">
        <f t="shared" si="96"/>
        <v>1.0971176680685566</v>
      </c>
      <c r="Q179" s="228">
        <f t="shared" si="96"/>
        <v>1.1044746142844013</v>
      </c>
      <c r="R179" s="228">
        <f t="shared" si="96"/>
        <v>1.111831560500246</v>
      </c>
      <c r="S179" s="228">
        <f t="shared" si="96"/>
        <v>1.0971176680685566</v>
      </c>
      <c r="T179" s="228">
        <f t="shared" si="96"/>
        <v>1.1044439831376489</v>
      </c>
      <c r="U179" s="228">
        <f t="shared" si="96"/>
        <v>1.1117702982067412</v>
      </c>
      <c r="V179" s="228">
        <f t="shared" si="96"/>
        <v>1.1190966132758335</v>
      </c>
      <c r="W179" s="228">
        <f t="shared" si="96"/>
        <v>1.1264229283449259</v>
      </c>
      <c r="X179" s="228">
        <f t="shared" si="96"/>
        <v>1.1337492434140182</v>
      </c>
      <c r="Y179" s="228">
        <f t="shared" si="96"/>
        <v>1.1410755584831105</v>
      </c>
      <c r="Z179" s="228">
        <f t="shared" si="96"/>
        <v>1.1484018735522028</v>
      </c>
      <c r="AA179" s="228">
        <f t="shared" si="96"/>
        <v>1.1557281886212951</v>
      </c>
      <c r="AB179" s="228">
        <f t="shared" si="96"/>
        <v>1.1630545036903874</v>
      </c>
      <c r="AC179" s="228">
        <f t="shared" si="96"/>
        <v>1.1190966132758335</v>
      </c>
      <c r="AD179" s="228">
        <f t="shared" si="96"/>
        <v>1.1351795715022777</v>
      </c>
      <c r="AE179" s="228">
        <f t="shared" si="96"/>
        <v>1.1512625297287218</v>
      </c>
      <c r="AF179" s="228">
        <f t="shared" si="96"/>
        <v>1.1673454879551659</v>
      </c>
      <c r="AG179" s="228">
        <f t="shared" si="96"/>
        <v>1.18342844618161</v>
      </c>
      <c r="AH179" s="228">
        <f t="shared" si="96"/>
        <v>1.1995114044080541</v>
      </c>
      <c r="AI179" s="228">
        <f t="shared" si="96"/>
        <v>1.2155943626344983</v>
      </c>
      <c r="AJ179" s="228">
        <f t="shared" si="96"/>
        <v>1.2316773208609424</v>
      </c>
      <c r="AK179" s="228">
        <f t="shared" si="96"/>
        <v>1.2477602790873865</v>
      </c>
      <c r="AL179" s="228">
        <f t="shared" si="96"/>
        <v>1.2638432373138306</v>
      </c>
      <c r="AM179" s="228">
        <f t="shared" si="96"/>
        <v>1.2799261955402748</v>
      </c>
      <c r="AN179" s="228">
        <f t="shared" si="96"/>
        <v>1.3026099156528501</v>
      </c>
      <c r="AO179" s="228">
        <f t="shared" si="96"/>
        <v>1.5067633966660277</v>
      </c>
      <c r="AP179" s="228">
        <f t="shared" si="96"/>
        <v>1.5067633966660277</v>
      </c>
      <c r="AQ179" s="228">
        <f t="shared" si="96"/>
        <v>1.5067633966660277</v>
      </c>
      <c r="AZ179" s="228"/>
      <c r="BA179" s="228"/>
      <c r="BB179" s="228"/>
      <c r="BC179" s="228"/>
      <c r="BD179" s="228"/>
      <c r="BE179" s="228"/>
    </row>
    <row r="180" spans="1:57">
      <c r="A180" s="227" t="s">
        <v>17</v>
      </c>
      <c r="B180" s="22"/>
      <c r="C180" s="23"/>
      <c r="D180" s="61"/>
      <c r="E180" s="23"/>
      <c r="F180" s="23"/>
      <c r="G180" s="23"/>
      <c r="H180" s="23"/>
      <c r="I180" s="23"/>
      <c r="J180" s="159" t="str">
        <f t="shared" si="92"/>
        <v>TFHCV9</v>
      </c>
      <c r="K180" s="228">
        <f t="shared" si="95"/>
        <v>0.87558249537595634</v>
      </c>
      <c r="L180" s="228">
        <f t="shared" si="96"/>
        <v>0.89192820677478912</v>
      </c>
      <c r="M180" s="228">
        <f t="shared" si="96"/>
        <v>0.90827391817362191</v>
      </c>
      <c r="N180" s="228">
        <f t="shared" si="96"/>
        <v>0.92461962957245458</v>
      </c>
      <c r="O180" s="228">
        <f t="shared" si="96"/>
        <v>0.93090413914086989</v>
      </c>
      <c r="P180" s="228">
        <f t="shared" si="96"/>
        <v>0.93718864870928531</v>
      </c>
      <c r="Q180" s="228">
        <f t="shared" si="96"/>
        <v>0.94347315827770073</v>
      </c>
      <c r="R180" s="228">
        <f t="shared" si="96"/>
        <v>0.94975766784611615</v>
      </c>
      <c r="S180" s="228">
        <f t="shared" si="96"/>
        <v>0.93718864870928531</v>
      </c>
      <c r="T180" s="228">
        <f t="shared" si="96"/>
        <v>0.94344699229398821</v>
      </c>
      <c r="U180" s="228">
        <f t="shared" si="96"/>
        <v>0.9497053358786911</v>
      </c>
      <c r="V180" s="228">
        <f t="shared" si="96"/>
        <v>0.955963679463394</v>
      </c>
      <c r="W180" s="228">
        <f t="shared" si="96"/>
        <v>0.9622220230480969</v>
      </c>
      <c r="X180" s="228">
        <f t="shared" si="96"/>
        <v>0.96848036663279979</v>
      </c>
      <c r="Y180" s="228">
        <f t="shared" si="96"/>
        <v>0.97473871021750269</v>
      </c>
      <c r="Z180" s="228">
        <f t="shared" si="96"/>
        <v>0.98099705380220559</v>
      </c>
      <c r="AA180" s="228">
        <f t="shared" si="96"/>
        <v>0.98725539738690848</v>
      </c>
      <c r="AB180" s="228">
        <f t="shared" si="96"/>
        <v>0.99351374097161138</v>
      </c>
      <c r="AC180" s="228">
        <f t="shared" si="96"/>
        <v>0.95596367946339411</v>
      </c>
      <c r="AD180" s="228">
        <f t="shared" si="96"/>
        <v>0.96970219295759774</v>
      </c>
      <c r="AE180" s="228">
        <f t="shared" si="96"/>
        <v>0.98344070645180137</v>
      </c>
      <c r="AF180" s="228">
        <f t="shared" si="96"/>
        <v>0.997179219946005</v>
      </c>
      <c r="AG180" s="228">
        <f t="shared" si="96"/>
        <v>1.0109177334402086</v>
      </c>
      <c r="AH180" s="228">
        <f t="shared" si="96"/>
        <v>1.0246562469344123</v>
      </c>
      <c r="AI180" s="228">
        <f t="shared" si="96"/>
        <v>1.0383947604286159</v>
      </c>
      <c r="AJ180" s="228">
        <f t="shared" si="96"/>
        <v>1.0521332739228195</v>
      </c>
      <c r="AK180" s="228">
        <f t="shared" si="96"/>
        <v>1.0658717874170232</v>
      </c>
      <c r="AL180" s="228">
        <f t="shared" si="96"/>
        <v>1.0796103009112268</v>
      </c>
      <c r="AM180" s="228">
        <f t="shared" si="96"/>
        <v>1.0933488144054302</v>
      </c>
      <c r="AN180" s="228">
        <f t="shared" si="96"/>
        <v>1.1127258836284879</v>
      </c>
      <c r="AO180" s="228">
        <f t="shared" si="96"/>
        <v>1.2871195066360073</v>
      </c>
      <c r="AP180" s="228">
        <f t="shared" si="96"/>
        <v>1.2871195066360073</v>
      </c>
      <c r="AQ180" s="228">
        <f t="shared" ref="AQ180" si="97">IF(AQ$169=-1,AR180,IF(AQ$169=99,AP180,IF(AQ$169=0,INDEX($F58:$L58,0,AQ$167),(INDEX($F58:$L58,0,AQ$169+1)-INDEX($F58:$L58,0,AQ$169))/(INDEX($F$4:$L$4,0,AQ$169+1)-INDEX($F$4:$L$4,0,AQ$169))+AP180)))</f>
        <v>1.2871195066360073</v>
      </c>
      <c r="AZ180" s="228"/>
      <c r="BA180" s="228"/>
      <c r="BB180" s="228"/>
      <c r="BC180" s="228"/>
      <c r="BD180" s="228"/>
      <c r="BE180" s="228"/>
    </row>
    <row r="181" spans="1:57">
      <c r="A181" s="227" t="s">
        <v>17</v>
      </c>
      <c r="B181" s="22"/>
      <c r="C181" s="23"/>
      <c r="D181" s="61"/>
      <c r="E181" s="23"/>
      <c r="F181" s="23"/>
      <c r="G181" s="23"/>
      <c r="H181" s="23"/>
      <c r="I181" s="23"/>
      <c r="J181" s="159" t="str">
        <f t="shared" si="92"/>
        <v>TFRCO</v>
      </c>
      <c r="K181" s="228">
        <f t="shared" ref="K181:AQ183" si="98">J142</f>
        <v>22</v>
      </c>
      <c r="L181" s="228">
        <f t="shared" si="98"/>
        <v>22.410704476932139</v>
      </c>
      <c r="M181" s="228">
        <f t="shared" si="98"/>
        <v>22.821408953864278</v>
      </c>
      <c r="N181" s="228">
        <f t="shared" si="98"/>
        <v>23.232113430796417</v>
      </c>
      <c r="O181" s="228">
        <f t="shared" si="98"/>
        <v>23.390018838037079</v>
      </c>
      <c r="P181" s="228">
        <f t="shared" si="98"/>
        <v>23.547924245277741</v>
      </c>
      <c r="Q181" s="228">
        <f t="shared" si="98"/>
        <v>23.705829652518403</v>
      </c>
      <c r="R181" s="228">
        <f t="shared" si="98"/>
        <v>23.863735059759065</v>
      </c>
      <c r="S181" s="228">
        <f t="shared" si="98"/>
        <v>23.547924245277745</v>
      </c>
      <c r="T181" s="228">
        <f t="shared" si="98"/>
        <v>23.705172202598256</v>
      </c>
      <c r="U181" s="228">
        <f t="shared" si="98"/>
        <v>23.862420159918766</v>
      </c>
      <c r="V181" s="228">
        <f t="shared" si="98"/>
        <v>24.019668117239277</v>
      </c>
      <c r="W181" s="228">
        <f t="shared" si="98"/>
        <v>24.176916074559788</v>
      </c>
      <c r="X181" s="228">
        <f t="shared" si="98"/>
        <v>24.334164031880299</v>
      </c>
      <c r="Y181" s="228">
        <f t="shared" si="98"/>
        <v>24.49141198920081</v>
      </c>
      <c r="Z181" s="228">
        <f t="shared" si="98"/>
        <v>24.64865994652132</v>
      </c>
      <c r="AA181" s="228">
        <f t="shared" si="98"/>
        <v>24.805907903841831</v>
      </c>
      <c r="AB181" s="228">
        <f t="shared" si="98"/>
        <v>24.963155861162342</v>
      </c>
      <c r="AC181" s="228">
        <f t="shared" si="98"/>
        <v>24.019668117239277</v>
      </c>
      <c r="AD181" s="228">
        <f t="shared" si="98"/>
        <v>24.364863799506431</v>
      </c>
      <c r="AE181" s="228">
        <f t="shared" si="98"/>
        <v>24.710059481773584</v>
      </c>
      <c r="AF181" s="228">
        <f t="shared" si="98"/>
        <v>25.055255164040737</v>
      </c>
      <c r="AG181" s="228">
        <f t="shared" si="98"/>
        <v>25.400450846307891</v>
      </c>
      <c r="AH181" s="228">
        <f t="shared" si="98"/>
        <v>25.745646528575044</v>
      </c>
      <c r="AI181" s="228">
        <f t="shared" si="98"/>
        <v>26.090842210842197</v>
      </c>
      <c r="AJ181" s="228">
        <f t="shared" si="98"/>
        <v>26.436037893109351</v>
      </c>
      <c r="AK181" s="228">
        <f t="shared" si="98"/>
        <v>26.781233575376504</v>
      </c>
      <c r="AL181" s="228">
        <f t="shared" si="98"/>
        <v>27.126429257643657</v>
      </c>
      <c r="AM181" s="228">
        <f t="shared" si="98"/>
        <v>27.471624939910804</v>
      </c>
      <c r="AN181" s="228">
        <f t="shared" si="98"/>
        <v>29.905978785257084</v>
      </c>
      <c r="AO181" s="228">
        <f t="shared" si="98"/>
        <v>32.340332630603356</v>
      </c>
      <c r="AP181" s="228">
        <f t="shared" si="98"/>
        <v>32.340332630603356</v>
      </c>
      <c r="AQ181" s="228">
        <f t="shared" si="98"/>
        <v>32.340332630603356</v>
      </c>
      <c r="AZ181" s="228"/>
      <c r="BA181" s="228"/>
      <c r="BB181" s="228"/>
      <c r="BC181" s="228"/>
      <c r="BD181" s="228"/>
      <c r="BE181" s="228"/>
    </row>
    <row r="182" spans="1:57">
      <c r="A182" s="227" t="s">
        <v>17</v>
      </c>
      <c r="B182" s="22"/>
      <c r="C182" s="23"/>
      <c r="D182" s="61"/>
      <c r="E182" s="23"/>
      <c r="F182" s="23"/>
      <c r="G182" s="23"/>
      <c r="H182" s="23"/>
      <c r="I182" s="23"/>
      <c r="J182" s="159" t="str">
        <f t="shared" si="92"/>
        <v>TFROT</v>
      </c>
      <c r="K182" s="228">
        <f t="shared" si="98"/>
        <v>25.099999999999998</v>
      </c>
      <c r="L182" s="228">
        <f t="shared" si="98"/>
        <v>25.568576471408942</v>
      </c>
      <c r="M182" s="228">
        <f t="shared" si="98"/>
        <v>26.037152942817887</v>
      </c>
      <c r="N182" s="228">
        <f t="shared" si="98"/>
        <v>26.505729414226828</v>
      </c>
      <c r="O182" s="228">
        <f t="shared" si="98"/>
        <v>26.685885128851403</v>
      </c>
      <c r="P182" s="228">
        <f t="shared" si="98"/>
        <v>26.866040843475979</v>
      </c>
      <c r="Q182" s="228">
        <f t="shared" si="98"/>
        <v>27.046196558100554</v>
      </c>
      <c r="R182" s="228">
        <f t="shared" si="98"/>
        <v>27.22635227272513</v>
      </c>
      <c r="S182" s="228">
        <f t="shared" si="98"/>
        <v>26.866040843475982</v>
      </c>
      <c r="T182" s="228">
        <f t="shared" si="98"/>
        <v>27.045446467509837</v>
      </c>
      <c r="U182" s="228">
        <f t="shared" si="98"/>
        <v>27.224852091543692</v>
      </c>
      <c r="V182" s="228">
        <f t="shared" si="98"/>
        <v>27.404257715577547</v>
      </c>
      <c r="W182" s="228">
        <f t="shared" si="98"/>
        <v>27.583663339611402</v>
      </c>
      <c r="X182" s="228">
        <f t="shared" si="98"/>
        <v>27.763068963645257</v>
      </c>
      <c r="Y182" s="228">
        <f t="shared" si="98"/>
        <v>27.942474587679111</v>
      </c>
      <c r="Z182" s="228">
        <f t="shared" si="98"/>
        <v>28.121880211712966</v>
      </c>
      <c r="AA182" s="228">
        <f t="shared" si="98"/>
        <v>28.301285835746821</v>
      </c>
      <c r="AB182" s="228">
        <f t="shared" si="98"/>
        <v>28.480691459780676</v>
      </c>
      <c r="AC182" s="228">
        <f t="shared" si="98"/>
        <v>27.404257715577543</v>
      </c>
      <c r="AD182" s="228">
        <f t="shared" si="98"/>
        <v>27.798094607618705</v>
      </c>
      <c r="AE182" s="228">
        <f t="shared" si="98"/>
        <v>28.191931499659866</v>
      </c>
      <c r="AF182" s="228">
        <f t="shared" si="98"/>
        <v>28.585768391701027</v>
      </c>
      <c r="AG182" s="228">
        <f t="shared" si="98"/>
        <v>28.979605283742188</v>
      </c>
      <c r="AH182" s="228">
        <f t="shared" si="98"/>
        <v>29.373442175783349</v>
      </c>
      <c r="AI182" s="228">
        <f t="shared" si="98"/>
        <v>29.767279067824511</v>
      </c>
      <c r="AJ182" s="228">
        <f t="shared" si="98"/>
        <v>30.161115959865672</v>
      </c>
      <c r="AK182" s="228">
        <f t="shared" si="98"/>
        <v>30.554952851906833</v>
      </c>
      <c r="AL182" s="228">
        <f t="shared" si="98"/>
        <v>30.948789743947994</v>
      </c>
      <c r="AM182" s="228">
        <f t="shared" si="98"/>
        <v>31.342626635989149</v>
      </c>
      <c r="AN182" s="228">
        <f t="shared" si="98"/>
        <v>34.120003068634226</v>
      </c>
      <c r="AO182" s="228">
        <f t="shared" si="98"/>
        <v>36.897379501279289</v>
      </c>
      <c r="AP182" s="228">
        <f t="shared" si="98"/>
        <v>36.897379501279289</v>
      </c>
      <c r="AQ182" s="228">
        <f t="shared" si="98"/>
        <v>36.897379501279289</v>
      </c>
      <c r="AZ182" s="228"/>
      <c r="BA182" s="228"/>
      <c r="BB182" s="228"/>
      <c r="BC182" s="228"/>
      <c r="BD182" s="228"/>
      <c r="BE182" s="228"/>
    </row>
    <row r="183" spans="1:57">
      <c r="A183" s="227" t="s">
        <v>17</v>
      </c>
      <c r="J183" s="159" t="str">
        <f t="shared" si="92"/>
        <v>TFREX</v>
      </c>
      <c r="K183" s="228">
        <f t="shared" si="98"/>
        <v>82</v>
      </c>
      <c r="L183" s="228">
        <f t="shared" si="98"/>
        <v>82</v>
      </c>
      <c r="M183" s="228">
        <f t="shared" si="98"/>
        <v>82</v>
      </c>
      <c r="N183" s="228">
        <f t="shared" si="98"/>
        <v>82</v>
      </c>
      <c r="O183" s="228">
        <f t="shared" si="98"/>
        <v>82</v>
      </c>
      <c r="P183" s="228">
        <f t="shared" si="98"/>
        <v>82</v>
      </c>
      <c r="Q183" s="228">
        <f t="shared" si="98"/>
        <v>82</v>
      </c>
      <c r="R183" s="228">
        <f t="shared" si="98"/>
        <v>82</v>
      </c>
      <c r="S183" s="228">
        <f t="shared" si="98"/>
        <v>82</v>
      </c>
      <c r="T183" s="228">
        <f t="shared" si="98"/>
        <v>82.025471944098541</v>
      </c>
      <c r="U183" s="228">
        <f t="shared" si="98"/>
        <v>82.050943888197082</v>
      </c>
      <c r="V183" s="228">
        <f t="shared" si="98"/>
        <v>82.076415832295623</v>
      </c>
      <c r="W183" s="228">
        <f t="shared" si="98"/>
        <v>82.101887776394165</v>
      </c>
      <c r="X183" s="228">
        <f t="shared" si="98"/>
        <v>82.127359720492706</v>
      </c>
      <c r="Y183" s="228">
        <f t="shared" si="98"/>
        <v>82.152831664591247</v>
      </c>
      <c r="Z183" s="228">
        <f t="shared" si="98"/>
        <v>82.178303608689788</v>
      </c>
      <c r="AA183" s="228">
        <f t="shared" si="98"/>
        <v>82.203775552788329</v>
      </c>
      <c r="AB183" s="228">
        <f t="shared" si="98"/>
        <v>82.22924749688687</v>
      </c>
      <c r="AC183" s="228">
        <f t="shared" si="98"/>
        <v>82.076415832295638</v>
      </c>
      <c r="AD183" s="228">
        <f t="shared" si="98"/>
        <v>83.126860111102957</v>
      </c>
      <c r="AE183" s="228">
        <f t="shared" si="98"/>
        <v>84.177304389910276</v>
      </c>
      <c r="AF183" s="228">
        <f t="shared" si="98"/>
        <v>85.227748668717595</v>
      </c>
      <c r="AG183" s="228">
        <f t="shared" si="98"/>
        <v>86.278192947524914</v>
      </c>
      <c r="AH183" s="228">
        <f t="shared" si="98"/>
        <v>87.328637226332233</v>
      </c>
      <c r="AI183" s="228">
        <f t="shared" si="98"/>
        <v>88.379081505139553</v>
      </c>
      <c r="AJ183" s="228">
        <f t="shared" si="98"/>
        <v>89.429525783946872</v>
      </c>
      <c r="AK183" s="228">
        <f t="shared" si="98"/>
        <v>90.479970062754191</v>
      </c>
      <c r="AL183" s="228">
        <f t="shared" si="98"/>
        <v>91.53041434156151</v>
      </c>
      <c r="AM183" s="228">
        <f t="shared" si="98"/>
        <v>92.580858620368858</v>
      </c>
      <c r="AN183" s="228">
        <f t="shared" si="98"/>
        <v>100.79773001416626</v>
      </c>
      <c r="AO183" s="228">
        <f t="shared" si="98"/>
        <v>109.01460140796371</v>
      </c>
      <c r="AP183" s="228">
        <f t="shared" si="98"/>
        <v>109.01460140796371</v>
      </c>
      <c r="AQ183" s="228">
        <f t="shared" si="98"/>
        <v>109.01460140796371</v>
      </c>
      <c r="AZ183" s="228"/>
      <c r="BA183" s="228"/>
      <c r="BB183" s="228"/>
      <c r="BC183" s="228"/>
      <c r="BD183" s="228"/>
      <c r="BE183" s="228"/>
    </row>
    <row r="184" spans="1:57">
      <c r="A184" s="227" t="s">
        <v>17</v>
      </c>
    </row>
  </sheetData>
  <mergeCells count="1">
    <mergeCell ref="B2:C2"/>
  </mergeCells>
  <pageMargins left="0.7" right="0.7" top="0.75" bottom="0.75" header="0.3" footer="0.3"/>
  <ignoredErrors>
    <ignoredError sqref="D134" formula="1"/>
  </ignoredErrors>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H277"/>
  <sheetViews>
    <sheetView topLeftCell="A126" zoomScale="80" zoomScaleNormal="80" workbookViewId="0">
      <selection activeCell="G92" sqref="G92"/>
    </sheetView>
  </sheetViews>
  <sheetFormatPr defaultColWidth="9.109375" defaultRowHeight="14.4"/>
  <cols>
    <col min="1" max="1" width="9" style="227" customWidth="1"/>
    <col min="2" max="2" width="11.109375" style="227" customWidth="1"/>
    <col min="3" max="3" width="42.88671875" style="227" customWidth="1"/>
    <col min="4" max="4" width="15.88671875" style="227" customWidth="1"/>
    <col min="5" max="5" width="10.109375" style="227" customWidth="1"/>
    <col min="6" max="7" width="7.44140625" style="227" customWidth="1"/>
    <col min="8" max="8" width="8.44140625" style="227" bestFit="1" customWidth="1"/>
    <col min="9" max="9" width="8.88671875" style="227" bestFit="1" customWidth="1"/>
    <col min="10" max="11" width="11.109375" style="227" bestFit="1" customWidth="1"/>
    <col min="12" max="12" width="9.109375" style="41" bestFit="1" customWidth="1"/>
    <col min="13" max="13" width="7.88671875" style="227" customWidth="1"/>
    <col min="14" max="15" width="8.44140625" style="227" bestFit="1" customWidth="1"/>
    <col min="16" max="17" width="8.44140625" style="227" customWidth="1"/>
    <col min="18" max="18" width="7.5546875" style="227" customWidth="1"/>
    <col min="19" max="19" width="7.88671875" style="227" customWidth="1"/>
    <col min="20" max="20" width="9.44140625" style="227" customWidth="1"/>
    <col min="21" max="21" width="8.109375" style="227" customWidth="1"/>
    <col min="22" max="22" width="9.88671875" style="227" customWidth="1"/>
    <col min="23" max="23" width="9.44140625" style="227" customWidth="1"/>
    <col min="24" max="24" width="9.6640625" style="227" customWidth="1"/>
    <col min="25" max="40" width="6.44140625" style="227" customWidth="1"/>
    <col min="41" max="41" width="13" style="227" customWidth="1"/>
    <col min="42" max="42" width="6.44140625" style="227" customWidth="1"/>
    <col min="43" max="53" width="9.109375" style="227"/>
    <col min="54" max="54" width="19.109375" style="227" customWidth="1"/>
    <col min="55" max="16384" width="9.109375" style="227"/>
  </cols>
  <sheetData>
    <row r="1" spans="1:58">
      <c r="A1" s="227" t="str">
        <f>IF(TRA,"TS DATA","")</f>
        <v>TS DATA</v>
      </c>
      <c r="B1" s="227" t="s">
        <v>18</v>
      </c>
      <c r="BA1" s="234" t="s">
        <v>224</v>
      </c>
      <c r="BB1" s="234" t="s">
        <v>589</v>
      </c>
      <c r="BC1" s="234" t="s">
        <v>198</v>
      </c>
      <c r="BD1" s="234" t="s">
        <v>597</v>
      </c>
      <c r="BE1" s="234"/>
      <c r="BF1" s="234"/>
    </row>
    <row r="2" spans="1:58" ht="15" thickBot="1">
      <c r="A2" s="227" t="s">
        <v>17</v>
      </c>
      <c r="B2" s="298" t="s">
        <v>305</v>
      </c>
      <c r="C2" s="298"/>
      <c r="L2" s="164"/>
      <c r="M2" s="164"/>
      <c r="N2" s="164"/>
      <c r="O2" s="164"/>
      <c r="P2" s="34"/>
      <c r="Q2" s="34"/>
      <c r="R2" s="34"/>
      <c r="S2" s="34"/>
      <c r="T2" s="34"/>
      <c r="U2" s="34"/>
      <c r="V2" s="34"/>
      <c r="W2" s="34"/>
      <c r="X2" s="34"/>
      <c r="Y2" s="34"/>
      <c r="Z2" s="34"/>
      <c r="AA2" s="34"/>
      <c r="AB2" s="34"/>
      <c r="AC2" s="34"/>
      <c r="AD2" s="34"/>
      <c r="AE2" s="34"/>
      <c r="AF2" s="34"/>
      <c r="AG2" s="34"/>
      <c r="AH2" s="34"/>
      <c r="AI2" s="34"/>
      <c r="AJ2" s="34"/>
      <c r="BA2" s="234"/>
      <c r="BB2" s="234"/>
      <c r="BC2" s="234"/>
      <c r="BD2" s="234" t="s">
        <v>593</v>
      </c>
      <c r="BE2" s="234" t="s">
        <v>593</v>
      </c>
      <c r="BF2" s="234" t="s">
        <v>606</v>
      </c>
    </row>
    <row r="3" spans="1:58">
      <c r="A3" s="227" t="s">
        <v>17</v>
      </c>
      <c r="B3" s="274"/>
      <c r="C3" s="234" t="str">
        <f>INDEX($BB$4:$BB$7,MATCH($D$3,$BA$4:$BA$7,0))</f>
        <v>PAMS Reference</v>
      </c>
      <c r="D3" s="238">
        <f>MCDrivers!L181</f>
        <v>-1</v>
      </c>
      <c r="L3" s="40"/>
      <c r="BA3" s="234"/>
      <c r="BB3" s="234"/>
      <c r="BC3" s="234"/>
      <c r="BD3" s="234" t="s">
        <v>594</v>
      </c>
      <c r="BE3" s="234" t="s">
        <v>595</v>
      </c>
      <c r="BF3" s="234"/>
    </row>
    <row r="4" spans="1:58">
      <c r="A4" s="227" t="s">
        <v>17</v>
      </c>
      <c r="C4" s="5" t="s">
        <v>199</v>
      </c>
      <c r="D4" s="237">
        <f>INDEX($BC$4:$BC$7,MATCH($D$3,$BA$4:$BA$7,0))</f>
        <v>0</v>
      </c>
      <c r="E4" s="227">
        <v>2012</v>
      </c>
      <c r="F4" s="227">
        <v>2015</v>
      </c>
      <c r="G4" s="227">
        <v>2017</v>
      </c>
      <c r="H4" s="227">
        <v>2020</v>
      </c>
      <c r="I4" s="227">
        <v>2030</v>
      </c>
      <c r="J4" s="227">
        <v>2040</v>
      </c>
      <c r="K4" s="144">
        <v>2050</v>
      </c>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285"/>
      <c r="BA4" s="234">
        <v>-1</v>
      </c>
      <c r="BB4" s="234" t="s">
        <v>596</v>
      </c>
      <c r="BC4" s="234">
        <v>0</v>
      </c>
      <c r="BD4" s="225">
        <v>0.97499999999999998</v>
      </c>
      <c r="BE4" s="226">
        <v>0.95</v>
      </c>
      <c r="BF4" s="243">
        <v>1</v>
      </c>
    </row>
    <row r="5" spans="1:58" ht="15" thickBot="1">
      <c r="A5" s="227" t="s">
        <v>17</v>
      </c>
      <c r="B5" s="273"/>
      <c r="C5" s="273"/>
      <c r="K5" s="144"/>
      <c r="L5" s="227"/>
      <c r="BA5" s="234">
        <v>1</v>
      </c>
      <c r="BB5" s="234" t="s">
        <v>591</v>
      </c>
      <c r="BC5" s="234">
        <v>1</v>
      </c>
      <c r="BD5" s="223">
        <v>0.85</v>
      </c>
      <c r="BE5" s="226">
        <v>0.3</v>
      </c>
      <c r="BF5" s="244">
        <v>0</v>
      </c>
    </row>
    <row r="6" spans="1:58">
      <c r="A6" s="227" t="s">
        <v>17</v>
      </c>
      <c r="E6" s="228"/>
      <c r="F6" s="228"/>
      <c r="G6" s="228"/>
      <c r="H6" s="228"/>
      <c r="I6" s="228"/>
      <c r="J6" s="228"/>
      <c r="K6" s="173"/>
      <c r="L6" s="286"/>
      <c r="M6" s="286"/>
      <c r="N6" s="286"/>
      <c r="O6" s="286"/>
      <c r="P6" s="286"/>
      <c r="Q6" s="286"/>
      <c r="R6" s="286"/>
      <c r="S6" s="286"/>
      <c r="T6" s="286"/>
      <c r="U6" s="286"/>
      <c r="V6" s="286"/>
      <c r="W6" s="286"/>
      <c r="X6" s="286"/>
      <c r="Y6" s="286"/>
      <c r="Z6" s="286"/>
      <c r="AA6" s="286"/>
      <c r="AB6" s="286"/>
      <c r="AC6" s="286"/>
      <c r="AD6" s="286"/>
      <c r="AE6" s="286"/>
      <c r="AF6" s="286"/>
      <c r="AG6" s="286"/>
      <c r="AH6" s="286"/>
      <c r="AI6" s="286"/>
      <c r="AJ6" s="286"/>
      <c r="AK6" s="286"/>
      <c r="AL6" s="286"/>
      <c r="AM6" s="286"/>
      <c r="AN6" s="286"/>
      <c r="AO6" s="286"/>
      <c r="AP6" s="286"/>
      <c r="BA6" s="234">
        <v>2</v>
      </c>
      <c r="BB6" s="234" t="s">
        <v>607</v>
      </c>
      <c r="BC6" s="234">
        <v>1</v>
      </c>
      <c r="BD6" s="223">
        <v>0.85</v>
      </c>
      <c r="BE6" s="226">
        <v>0.67</v>
      </c>
      <c r="BF6" s="244">
        <v>1</v>
      </c>
    </row>
    <row r="7" spans="1:58">
      <c r="A7" s="227" t="s">
        <v>17</v>
      </c>
      <c r="BA7" s="234"/>
      <c r="BB7" s="234"/>
      <c r="BC7" s="234"/>
      <c r="BD7" s="223"/>
      <c r="BE7" s="226"/>
      <c r="BF7" s="244"/>
    </row>
    <row r="8" spans="1:58">
      <c r="A8" s="227" t="s">
        <v>17</v>
      </c>
    </row>
    <row r="9" spans="1:58">
      <c r="A9" s="227" t="s">
        <v>17</v>
      </c>
    </row>
    <row r="10" spans="1:58">
      <c r="A10" s="227" t="s">
        <v>17</v>
      </c>
      <c r="B10" s="274"/>
      <c r="C10" s="274"/>
    </row>
    <row r="11" spans="1:58" ht="15" thickBot="1">
      <c r="A11" s="227" t="s">
        <v>17</v>
      </c>
      <c r="B11" s="273" t="s">
        <v>57</v>
      </c>
      <c r="E11" s="227">
        <f>MATCH(E12,MCEcon!$C$42:$AG$42,0)</f>
        <v>1</v>
      </c>
      <c r="F11" s="227">
        <f>MATCH(F12,MCEcon!$C$42:$AG$42,0)</f>
        <v>4</v>
      </c>
      <c r="G11" s="227">
        <f>MATCH(G12,MCEcon!$C$42:$AG$42,0)</f>
        <v>6</v>
      </c>
      <c r="H11" s="227">
        <f>MATCH(H12,MCEcon!$C$42:$AG$42,0)</f>
        <v>9</v>
      </c>
      <c r="I11" s="227">
        <f>MATCH(I12,MCEcon!$C$42:$AG$42,0)</f>
        <v>19</v>
      </c>
      <c r="J11" s="227">
        <f>MATCH(J12,MCEcon!$C$42:$AG$42,0)</f>
        <v>29</v>
      </c>
      <c r="K11" s="227">
        <f>MATCH(K12,MCEcon!$C$42:$AG$42,0)</f>
        <v>31</v>
      </c>
      <c r="M11" s="5" t="s">
        <v>42</v>
      </c>
      <c r="S11" s="5" t="s">
        <v>198</v>
      </c>
      <c r="BD11" s="30"/>
    </row>
    <row r="12" spans="1:58" ht="15" thickBot="1">
      <c r="A12" s="227" t="s">
        <v>17</v>
      </c>
      <c r="D12" s="273"/>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c r="BD12" s="30"/>
    </row>
    <row r="13" spans="1:58">
      <c r="A13" s="227" t="s">
        <v>17</v>
      </c>
      <c r="C13" s="227" t="s">
        <v>50</v>
      </c>
      <c r="D13" s="227" t="s">
        <v>48</v>
      </c>
      <c r="E13" s="228">
        <f>INDEX(MCEcon!$C$65:$AG$67,1,E$11)</f>
        <v>23.44</v>
      </c>
      <c r="F13" s="228">
        <f>INDEX(MCEcon!$C$65:$AG$67,1,F$11)</f>
        <v>23.22595471053166</v>
      </c>
      <c r="G13" s="228">
        <f>INDEX(MCEcon!$C$65:$AG$67,1,G$11)</f>
        <v>23.098044224261255</v>
      </c>
      <c r="H13" s="228">
        <f>INDEX(MCEcon!$C$65:$AG$67,1,H$11)</f>
        <v>22.864075230945556</v>
      </c>
      <c r="I13" s="228">
        <f>INDEX(MCEcon!$C$65:$AG$67,1,I$11)</f>
        <v>21.95519667252259</v>
      </c>
      <c r="J13" s="228">
        <f>INDEX(MCEcon!$C$65:$AG$67,1,J$11)</f>
        <v>20.44192609486554</v>
      </c>
      <c r="K13" s="228">
        <f>INDEX(MCEcon!$C$65:$AG$67,1,K$11)</f>
        <v>19.567629204601904</v>
      </c>
      <c r="M13" s="228">
        <f>E13</f>
        <v>23.44</v>
      </c>
      <c r="N13" s="228">
        <f t="shared" ref="N13:Q15" si="0">H13</f>
        <v>22.864075230945556</v>
      </c>
      <c r="O13" s="228">
        <f t="shared" si="0"/>
        <v>21.95519667252259</v>
      </c>
      <c r="P13" s="228">
        <f t="shared" si="0"/>
        <v>20.44192609486554</v>
      </c>
      <c r="Q13" s="228">
        <f t="shared" si="0"/>
        <v>19.567629204601904</v>
      </c>
      <c r="S13" s="228">
        <f>E13</f>
        <v>23.44</v>
      </c>
      <c r="T13" s="228">
        <f t="shared" ref="T13:W15" si="1">H13</f>
        <v>22.864075230945556</v>
      </c>
      <c r="U13" s="228">
        <f t="shared" si="1"/>
        <v>21.95519667252259</v>
      </c>
      <c r="V13" s="228">
        <f t="shared" si="1"/>
        <v>20.44192609486554</v>
      </c>
      <c r="W13" s="228">
        <f t="shared" si="1"/>
        <v>19.567629204601904</v>
      </c>
      <c r="BD13" s="30"/>
    </row>
    <row r="14" spans="1:58">
      <c r="A14" s="227" t="s">
        <v>17</v>
      </c>
      <c r="C14" s="227" t="s">
        <v>52</v>
      </c>
      <c r="D14" s="227" t="s">
        <v>48</v>
      </c>
      <c r="E14" s="228">
        <f>INDEX(MCEcon!$C$65:$AG$67,2,E$11)</f>
        <v>16.970364490783776</v>
      </c>
      <c r="F14" s="228">
        <f>INDEX(MCEcon!$C$65:$AG$67,2,F$11)</f>
        <v>17.706742132999857</v>
      </c>
      <c r="G14" s="228">
        <f>INDEX(MCEcon!$C$65:$AG$67,2,G$11)</f>
        <v>18.212618708764591</v>
      </c>
      <c r="H14" s="228">
        <f>INDEX(MCEcon!$C$65:$AG$67,2,H$11)</f>
        <v>18.982870373304088</v>
      </c>
      <c r="I14" s="228">
        <f>INDEX(MCEcon!$C$65:$AG$67,2,I$11)</f>
        <v>21.968076242333368</v>
      </c>
      <c r="J14" s="228">
        <f>INDEX(MCEcon!$C$65:$AG$67,2,J$11)</f>
        <v>25.241391122052022</v>
      </c>
      <c r="K14" s="228">
        <f>INDEX(MCEcon!$C$65:$AG$67,2,K$11)</f>
        <v>28.64199879238107</v>
      </c>
      <c r="M14" s="228">
        <f>E14</f>
        <v>16.970364490783776</v>
      </c>
      <c r="N14" s="228">
        <f t="shared" si="0"/>
        <v>18.982870373304088</v>
      </c>
      <c r="O14" s="228">
        <f t="shared" si="0"/>
        <v>21.968076242333368</v>
      </c>
      <c r="P14" s="228">
        <f t="shared" si="0"/>
        <v>25.241391122052022</v>
      </c>
      <c r="Q14" s="228">
        <f t="shared" si="0"/>
        <v>28.64199879238107</v>
      </c>
      <c r="S14" s="228">
        <f>E14</f>
        <v>16.970364490783776</v>
      </c>
      <c r="T14" s="228">
        <f t="shared" si="1"/>
        <v>18.982870373304088</v>
      </c>
      <c r="U14" s="228">
        <f t="shared" si="1"/>
        <v>21.968076242333368</v>
      </c>
      <c r="V14" s="228">
        <f t="shared" si="1"/>
        <v>25.241391122052022</v>
      </c>
      <c r="W14" s="228">
        <f t="shared" si="1"/>
        <v>28.64199879238107</v>
      </c>
      <c r="BD14" s="30"/>
    </row>
    <row r="15" spans="1:58">
      <c r="A15" s="227" t="s">
        <v>17</v>
      </c>
      <c r="C15" s="227" t="s">
        <v>51</v>
      </c>
      <c r="D15" s="227" t="s">
        <v>48</v>
      </c>
      <c r="E15" s="228">
        <f>INDEX(MCEcon!$C$65:$AG$67,3,E$11)</f>
        <v>12.622024542915524</v>
      </c>
      <c r="F15" s="228">
        <f>INDEX(MCEcon!$C$65:$AG$67,3,F$11)</f>
        <v>13.557709156468487</v>
      </c>
      <c r="G15" s="228">
        <f>INDEX(MCEcon!$C$65:$AG$67,3,G$11)</f>
        <v>14.248713186974159</v>
      </c>
      <c r="H15" s="228">
        <f>INDEX(MCEcon!$C$65:$AG$67,3,H$11)</f>
        <v>15.315885695750353</v>
      </c>
      <c r="I15" s="228">
        <f>INDEX(MCEcon!$C$65:$AG$67,3,I$11)</f>
        <v>18.883034605144044</v>
      </c>
      <c r="J15" s="228">
        <f>INDEX(MCEcon!$C$65:$AG$67,3,J$11)</f>
        <v>22.904553213082437</v>
      </c>
      <c r="K15" s="228">
        <f>INDEX(MCEcon!$C$65:$AG$67,3,K$11)</f>
        <v>26.986581433017019</v>
      </c>
      <c r="M15" s="228">
        <f>E15</f>
        <v>12.622024542915524</v>
      </c>
      <c r="N15" s="228">
        <f t="shared" si="0"/>
        <v>15.315885695750353</v>
      </c>
      <c r="O15" s="228">
        <f t="shared" si="0"/>
        <v>18.883034605144044</v>
      </c>
      <c r="P15" s="228">
        <f t="shared" si="0"/>
        <v>22.904553213082437</v>
      </c>
      <c r="Q15" s="228">
        <f t="shared" si="0"/>
        <v>26.986581433017019</v>
      </c>
      <c r="S15" s="228">
        <f>E15</f>
        <v>12.622024542915524</v>
      </c>
      <c r="T15" s="228">
        <f t="shared" si="1"/>
        <v>15.315885695750353</v>
      </c>
      <c r="U15" s="228">
        <f t="shared" si="1"/>
        <v>18.883034605144044</v>
      </c>
      <c r="V15" s="228">
        <f t="shared" si="1"/>
        <v>22.904553213082437</v>
      </c>
      <c r="W15" s="228">
        <f t="shared" si="1"/>
        <v>26.986581433017019</v>
      </c>
    </row>
    <row r="16" spans="1:58">
      <c r="A16" s="227" t="s">
        <v>17</v>
      </c>
      <c r="E16" s="3">
        <f t="shared" ref="E16:K16" si="2">SUM(E13:E15)</f>
        <v>53.032389033699303</v>
      </c>
      <c r="F16" s="3">
        <f>SUM(F13:F15)</f>
        <v>54.490406000000007</v>
      </c>
      <c r="G16" s="3">
        <f>SUM(G13:G15)</f>
        <v>55.559376120000003</v>
      </c>
      <c r="H16" s="3">
        <f t="shared" si="2"/>
        <v>57.162831299999993</v>
      </c>
      <c r="I16" s="3">
        <f t="shared" si="2"/>
        <v>62.806307520000004</v>
      </c>
      <c r="J16" s="3">
        <f t="shared" si="2"/>
        <v>68.587870429999995</v>
      </c>
      <c r="K16" s="3">
        <f t="shared" si="2"/>
        <v>75.196209429999996</v>
      </c>
      <c r="M16" s="3">
        <f>SUM(M13:M15)</f>
        <v>53.032389033699303</v>
      </c>
      <c r="N16" s="3">
        <f>SUM(N13:N15)</f>
        <v>57.162831299999993</v>
      </c>
      <c r="O16" s="3">
        <f>SUM(O13:O15)</f>
        <v>62.806307520000004</v>
      </c>
      <c r="P16" s="3">
        <f>SUM(P13:P15)</f>
        <v>68.587870429999995</v>
      </c>
      <c r="Q16" s="3">
        <f>SUM(Q13:Q15)</f>
        <v>75.196209429999996</v>
      </c>
      <c r="S16" s="49">
        <f>SUM(S13:S15)</f>
        <v>53.032389033699303</v>
      </c>
      <c r="T16" s="49">
        <f>SUM(T13:T15)</f>
        <v>57.162831299999993</v>
      </c>
      <c r="U16" s="49">
        <f>SUM(U13:U15)</f>
        <v>62.806307520000004</v>
      </c>
      <c r="V16" s="49">
        <f>SUM(V13:V15)</f>
        <v>68.587870429999995</v>
      </c>
      <c r="W16" s="49">
        <f>SUM(W13:W15)</f>
        <v>75.196209429999996</v>
      </c>
    </row>
    <row r="17" spans="1:42">
      <c r="A17" s="227" t="s">
        <v>17</v>
      </c>
      <c r="B17" s="274"/>
    </row>
    <row r="18" spans="1:42" ht="15" thickBot="1">
      <c r="A18" s="227" t="s">
        <v>17</v>
      </c>
      <c r="B18" s="28"/>
      <c r="C18" s="273" t="s">
        <v>59</v>
      </c>
      <c r="D18" s="273"/>
      <c r="E18" s="7">
        <v>2012</v>
      </c>
      <c r="F18" s="7">
        <v>2015</v>
      </c>
      <c r="G18" s="7">
        <f>G12</f>
        <v>2017</v>
      </c>
      <c r="H18" s="7">
        <v>2020</v>
      </c>
      <c r="I18" s="7">
        <v>2030</v>
      </c>
      <c r="J18" s="7">
        <v>2040</v>
      </c>
      <c r="K18" s="7">
        <v>2050</v>
      </c>
    </row>
    <row r="19" spans="1:42">
      <c r="A19" s="227" t="s">
        <v>17</v>
      </c>
      <c r="B19" s="274"/>
      <c r="C19" s="227" t="s">
        <v>8</v>
      </c>
      <c r="D19" s="36" t="s">
        <v>556</v>
      </c>
      <c r="E19" s="10">
        <f>RES!E43</f>
        <v>1</v>
      </c>
      <c r="F19" s="10">
        <f>RES!E43</f>
        <v>1</v>
      </c>
      <c r="G19" s="260">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42">
      <c r="A20" s="227" t="s">
        <v>17</v>
      </c>
      <c r="B20" s="274"/>
      <c r="C20" s="274" t="s">
        <v>9</v>
      </c>
      <c r="D20" s="36" t="s">
        <v>556</v>
      </c>
      <c r="E20" s="10">
        <f>RES!E44</f>
        <v>1</v>
      </c>
      <c r="F20" s="10">
        <f>RES!E44</f>
        <v>1</v>
      </c>
      <c r="G20" s="260">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42">
      <c r="A21" s="227" t="s">
        <v>17</v>
      </c>
      <c r="C21" s="274" t="s">
        <v>424</v>
      </c>
      <c r="D21" s="36" t="s">
        <v>556</v>
      </c>
      <c r="E21" s="10">
        <f>RES!E45</f>
        <v>1</v>
      </c>
      <c r="F21" s="10">
        <f>RES!E45</f>
        <v>1</v>
      </c>
      <c r="G21" s="260">
        <f t="shared" si="3"/>
        <v>1.0312770930423893</v>
      </c>
      <c r="H21" s="10">
        <f>RES!F45</f>
        <v>1.0625541860847787</v>
      </c>
      <c r="I21" s="10">
        <f>RES!G45</f>
        <v>1.0738543861159591</v>
      </c>
      <c r="J21" s="10">
        <f>RES!H45</f>
        <v>1.0753270113967346</v>
      </c>
      <c r="K21" s="10">
        <f>RES!I45</f>
        <v>1.0916445074168699</v>
      </c>
      <c r="L21" s="44"/>
      <c r="M21" s="10"/>
      <c r="N21" s="47">
        <v>0.25</v>
      </c>
      <c r="O21" s="47">
        <f>N21</f>
        <v>0.25</v>
      </c>
      <c r="P21" s="47">
        <f>O21</f>
        <v>0.25</v>
      </c>
      <c r="Q21" s="47">
        <f>P21</f>
        <v>0.25</v>
      </c>
      <c r="R21" s="10"/>
      <c r="T21" s="130"/>
      <c r="U21" s="10"/>
      <c r="V21" s="10"/>
      <c r="W21" s="10"/>
      <c r="X21" s="10"/>
      <c r="Y21" s="10"/>
      <c r="Z21" s="10"/>
      <c r="AA21" s="10"/>
      <c r="AB21" s="10"/>
      <c r="AC21" s="10"/>
      <c r="AD21" s="10"/>
      <c r="AE21" s="10"/>
      <c r="AF21" s="10"/>
      <c r="AG21" s="10"/>
      <c r="AH21" s="10"/>
      <c r="AI21" s="10"/>
      <c r="AJ21" s="10"/>
      <c r="AK21" s="10"/>
      <c r="AL21" s="10"/>
      <c r="AM21" s="8"/>
      <c r="AN21" s="8"/>
      <c r="AO21" s="8"/>
      <c r="AP21" s="8"/>
    </row>
    <row r="22" spans="1:42">
      <c r="A22" s="227" t="s">
        <v>17</v>
      </c>
      <c r="C22" s="274"/>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42">
      <c r="A23" s="227" t="s">
        <v>17</v>
      </c>
      <c r="B23" s="274"/>
      <c r="C23" s="274"/>
      <c r="S23" s="227" t="s">
        <v>200</v>
      </c>
    </row>
    <row r="24" spans="1:42" ht="15" thickBot="1">
      <c r="A24" s="227" t="s">
        <v>17</v>
      </c>
      <c r="B24" s="273" t="s">
        <v>161</v>
      </c>
      <c r="D24" s="273"/>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42">
      <c r="A25" s="227" t="s">
        <v>17</v>
      </c>
      <c r="B25" s="274"/>
      <c r="C25" s="274" t="str">
        <f>C19</f>
        <v>Low Income</v>
      </c>
      <c r="D25" s="227" t="s">
        <v>49</v>
      </c>
      <c r="E25" s="276">
        <f>[3]Calib_1011!$H$86</f>
        <v>0.02</v>
      </c>
      <c r="F25" s="66">
        <f t="shared" ref="F25:G27" si="4">IF($D$4,S25,M25)</f>
        <v>0.02</v>
      </c>
      <c r="G25" s="66">
        <f t="shared" si="4"/>
        <v>0.02</v>
      </c>
      <c r="H25" s="66">
        <f t="shared" ref="H25:K27" si="5">IF($D$4,T25,N25)</f>
        <v>0.02</v>
      </c>
      <c r="I25" s="66">
        <f t="shared" si="5"/>
        <v>0.02</v>
      </c>
      <c r="J25" s="66">
        <f t="shared" si="5"/>
        <v>0.02</v>
      </c>
      <c r="K25" s="66">
        <f t="shared" si="5"/>
        <v>0.02</v>
      </c>
      <c r="L25" s="287"/>
      <c r="M25" s="66">
        <f>E25</f>
        <v>0.02</v>
      </c>
      <c r="N25" s="35">
        <f>M25</f>
        <v>0.02</v>
      </c>
      <c r="O25" s="35">
        <f t="shared" ref="O25:Q26" si="6">N25</f>
        <v>0.02</v>
      </c>
      <c r="P25" s="35">
        <f t="shared" si="6"/>
        <v>0.02</v>
      </c>
      <c r="Q25" s="35">
        <f t="shared" si="6"/>
        <v>0.02</v>
      </c>
      <c r="R25" s="288"/>
      <c r="S25" s="66">
        <f>M25</f>
        <v>0.02</v>
      </c>
      <c r="T25" s="77">
        <v>0.06</v>
      </c>
      <c r="U25" s="77">
        <v>0.05</v>
      </c>
      <c r="V25" s="77">
        <v>0.04</v>
      </c>
      <c r="W25" s="77">
        <v>0.04</v>
      </c>
      <c r="X25" s="288"/>
      <c r="Y25" s="288"/>
      <c r="Z25" s="288"/>
      <c r="AA25" s="288"/>
      <c r="AB25" s="288"/>
      <c r="AC25" s="288"/>
      <c r="AD25" s="288"/>
      <c r="AE25" s="288"/>
      <c r="AF25" s="288"/>
      <c r="AG25" s="288"/>
      <c r="AH25" s="288"/>
      <c r="AI25" s="288"/>
      <c r="AJ25" s="288"/>
      <c r="AK25" s="288"/>
      <c r="AL25" s="288"/>
      <c r="AM25" s="288"/>
      <c r="AN25" s="288"/>
      <c r="AO25" s="288"/>
      <c r="AP25" s="288"/>
    </row>
    <row r="26" spans="1:42">
      <c r="A26" s="227" t="s">
        <v>17</v>
      </c>
      <c r="B26" s="235">
        <f>INDEX($BE$4:$BE$7,MATCH($D$3,$BA$4:$BA$7,0))</f>
        <v>0.95</v>
      </c>
      <c r="C26" s="274" t="str">
        <f>C20</f>
        <v>Middle Income</v>
      </c>
      <c r="D26" s="227" t="s">
        <v>49</v>
      </c>
      <c r="E26" s="276">
        <f>[3]Calib_1011!$I$86</f>
        <v>0.53</v>
      </c>
      <c r="F26" s="66">
        <f t="shared" si="4"/>
        <v>0.53</v>
      </c>
      <c r="G26" s="66">
        <f t="shared" si="4"/>
        <v>0.53</v>
      </c>
      <c r="H26" s="66">
        <f t="shared" si="5"/>
        <v>0.53</v>
      </c>
      <c r="I26" s="66">
        <f t="shared" si="5"/>
        <v>0.53</v>
      </c>
      <c r="J26" s="66">
        <f t="shared" si="5"/>
        <v>0.53</v>
      </c>
      <c r="K26" s="66">
        <f t="shared" si="5"/>
        <v>0.53</v>
      </c>
      <c r="L26" s="287"/>
      <c r="M26" s="66">
        <f>E26</f>
        <v>0.53</v>
      </c>
      <c r="N26" s="35">
        <f>M26</f>
        <v>0.53</v>
      </c>
      <c r="O26" s="35">
        <f t="shared" si="6"/>
        <v>0.53</v>
      </c>
      <c r="P26" s="35">
        <f t="shared" si="6"/>
        <v>0.53</v>
      </c>
      <c r="Q26" s="35">
        <f t="shared" si="6"/>
        <v>0.53</v>
      </c>
      <c r="R26" s="288"/>
      <c r="S26" s="66">
        <f>M26</f>
        <v>0.53</v>
      </c>
      <c r="T26" s="77">
        <f>S26*$B$26</f>
        <v>0.50349999999999995</v>
      </c>
      <c r="U26" s="77">
        <f>IF(INDEX($BF$4:$BF$7,MATCH($D$3,$BA$4:$BA$7,0)),T26*$B$26,T26)</f>
        <v>0.47832499999999994</v>
      </c>
      <c r="V26" s="77">
        <f>IF(INDEX($BF$4:$BF$7,MATCH($D$3,$BA$4:$BA$7,0)),U26*$B$26,U26)</f>
        <v>0.45440874999999992</v>
      </c>
      <c r="W26" s="77">
        <f>IF(INDEX($BF$4:$BF$7,MATCH($D$3,$BA$4:$BA$7,0)),V26*$B$26,V26)</f>
        <v>0.43168831249999989</v>
      </c>
      <c r="X26" s="288"/>
      <c r="Y26" s="288"/>
      <c r="Z26" s="288"/>
      <c r="AA26" s="288"/>
      <c r="AB26" s="288"/>
      <c r="AC26" s="288"/>
      <c r="AD26" s="288"/>
      <c r="AE26" s="288"/>
      <c r="AF26" s="288"/>
      <c r="AG26" s="288"/>
      <c r="AH26" s="288"/>
      <c r="AI26" s="288"/>
      <c r="AJ26" s="288"/>
      <c r="AK26" s="288"/>
      <c r="AL26" s="288"/>
      <c r="AM26" s="288"/>
      <c r="AN26" s="288"/>
      <c r="AO26" s="288"/>
      <c r="AP26" s="288"/>
    </row>
    <row r="27" spans="1:42">
      <c r="A27" s="227" t="s">
        <v>17</v>
      </c>
      <c r="B27" s="235">
        <f>INDEX($BD$4:$BD$7,MATCH($D$3,$BA$4:$BA$7,0))</f>
        <v>0.97499999999999998</v>
      </c>
      <c r="C27" s="274" t="str">
        <f>C21</f>
        <v>High Income</v>
      </c>
      <c r="D27" s="227" t="s">
        <v>49</v>
      </c>
      <c r="E27" s="276">
        <f>[3]Calib_1011!$J$86</f>
        <v>0.78378378378378377</v>
      </c>
      <c r="F27" s="66">
        <f t="shared" si="4"/>
        <v>0.78378378378378377</v>
      </c>
      <c r="G27" s="66">
        <f t="shared" si="4"/>
        <v>0.78378378378378377</v>
      </c>
      <c r="H27" s="66">
        <f t="shared" si="5"/>
        <v>0.78378378378378377</v>
      </c>
      <c r="I27" s="66">
        <f t="shared" si="5"/>
        <v>0.78378378378378377</v>
      </c>
      <c r="J27" s="66">
        <f t="shared" si="5"/>
        <v>0.78378378378378377</v>
      </c>
      <c r="K27" s="66">
        <f t="shared" si="5"/>
        <v>0.78378378378378377</v>
      </c>
      <c r="L27" s="287"/>
      <c r="M27" s="66">
        <f>E27</f>
        <v>0.78378378378378377</v>
      </c>
      <c r="N27" s="35">
        <f>M27</f>
        <v>0.78378378378378377</v>
      </c>
      <c r="O27" s="35">
        <f>N27</f>
        <v>0.78378378378378377</v>
      </c>
      <c r="P27" s="35">
        <f>O27</f>
        <v>0.78378378378378377</v>
      </c>
      <c r="Q27" s="35">
        <f>P27</f>
        <v>0.78378378378378377</v>
      </c>
      <c r="R27" s="288"/>
      <c r="S27" s="66">
        <f>M27</f>
        <v>0.78378378378378377</v>
      </c>
      <c r="T27" s="77">
        <f>S27*$B$27</f>
        <v>0.76418918918918921</v>
      </c>
      <c r="U27" s="77">
        <f>IF(INDEX($BF$4:$BF$7,MATCH($D$3,$BA$4:$BA$7,0)),T27*$B$27,T27)</f>
        <v>0.74508445945945945</v>
      </c>
      <c r="V27" s="77">
        <f>IF(INDEX($BF$4:$BF$7,MATCH($D$3,$BA$4:$BA$7,0)),U27*$B$27,U27)</f>
        <v>0.7264573479729729</v>
      </c>
      <c r="W27" s="77">
        <f>IF(INDEX($BF$4:$BF$7,MATCH($D$3,$BA$4:$BA$7,0)),V27*$B$27,V27)</f>
        <v>0.70829591427364857</v>
      </c>
      <c r="X27" s="288"/>
      <c r="Y27" s="288"/>
      <c r="Z27" s="288"/>
      <c r="AA27" s="288"/>
      <c r="AB27" s="288"/>
      <c r="AC27" s="288"/>
      <c r="AD27" s="288"/>
      <c r="AE27" s="288"/>
      <c r="AF27" s="288"/>
      <c r="AG27" s="288"/>
      <c r="AH27" s="288"/>
      <c r="AI27" s="288"/>
      <c r="AJ27" s="288"/>
      <c r="AK27" s="288"/>
      <c r="AL27" s="288"/>
      <c r="AM27" s="288"/>
      <c r="AN27" s="288"/>
      <c r="AO27" s="288"/>
      <c r="AP27" s="288"/>
    </row>
    <row r="28" spans="1:42">
      <c r="A28" s="227" t="s">
        <v>17</v>
      </c>
      <c r="B28" s="274"/>
      <c r="C28" s="274"/>
      <c r="S28" s="227" t="s">
        <v>201</v>
      </c>
      <c r="T28" s="232"/>
      <c r="U28" s="232"/>
      <c r="V28" s="34"/>
    </row>
    <row r="29" spans="1:42" ht="15" thickBot="1">
      <c r="A29" s="227" t="s">
        <v>17</v>
      </c>
      <c r="B29" s="273" t="s">
        <v>189</v>
      </c>
      <c r="D29" s="273"/>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42">
      <c r="A30" s="227" t="s">
        <v>17</v>
      </c>
      <c r="C30" s="274" t="str">
        <f>C25</f>
        <v>Low Income</v>
      </c>
      <c r="D30" s="227" t="s">
        <v>49</v>
      </c>
      <c r="E30" s="51">
        <f>[3]Calib_1011!$H$93</f>
        <v>0.25</v>
      </c>
      <c r="F30" s="65">
        <f t="shared" ref="F30:G32" si="7">IF($D$4,S30,M30)</f>
        <v>0.25</v>
      </c>
      <c r="G30" s="65">
        <f t="shared" si="7"/>
        <v>0.25</v>
      </c>
      <c r="H30" s="65">
        <f t="shared" ref="H30:K32" si="8">IF($D$4,T30,N30)</f>
        <v>0.25</v>
      </c>
      <c r="I30" s="65">
        <f t="shared" si="8"/>
        <v>0.25</v>
      </c>
      <c r="J30" s="65">
        <f t="shared" si="8"/>
        <v>0.25</v>
      </c>
      <c r="K30" s="65">
        <f t="shared" si="8"/>
        <v>0.25</v>
      </c>
      <c r="L30" s="43"/>
      <c r="M30" s="65">
        <f>E30</f>
        <v>0.25</v>
      </c>
      <c r="N30" s="47">
        <f>M30</f>
        <v>0.25</v>
      </c>
      <c r="O30" s="47">
        <f t="shared" ref="O30:Q31" si="9">N30</f>
        <v>0.25</v>
      </c>
      <c r="P30" s="47">
        <f t="shared" si="9"/>
        <v>0.25</v>
      </c>
      <c r="Q30" s="47">
        <f t="shared" si="9"/>
        <v>0.25</v>
      </c>
      <c r="R30" s="275"/>
      <c r="S30" s="65">
        <f>M30</f>
        <v>0.25</v>
      </c>
      <c r="T30" s="78">
        <f t="shared" ref="T30:W31" si="10">S30*0.95</f>
        <v>0.23749999999999999</v>
      </c>
      <c r="U30" s="78">
        <f t="shared" si="10"/>
        <v>0.22562499999999999</v>
      </c>
      <c r="V30" s="78">
        <f t="shared" si="10"/>
        <v>0.21434374999999997</v>
      </c>
      <c r="W30" s="78">
        <f t="shared" si="10"/>
        <v>0.20362656249999997</v>
      </c>
      <c r="X30" s="275"/>
      <c r="Y30" s="275"/>
      <c r="Z30" s="275"/>
      <c r="AA30" s="275"/>
      <c r="AB30" s="275"/>
      <c r="AC30" s="275"/>
      <c r="AD30" s="275"/>
      <c r="AE30" s="275"/>
      <c r="AF30" s="275"/>
      <c r="AG30" s="275"/>
      <c r="AH30" s="275"/>
      <c r="AI30" s="275"/>
      <c r="AJ30" s="275"/>
      <c r="AK30" s="275"/>
      <c r="AL30" s="275"/>
      <c r="AM30" s="275"/>
      <c r="AN30" s="275"/>
      <c r="AO30" s="275"/>
      <c r="AP30" s="275"/>
    </row>
    <row r="31" spans="1:42">
      <c r="A31" s="227" t="s">
        <v>17</v>
      </c>
      <c r="C31" s="274" t="str">
        <f>C26</f>
        <v>Middle Income</v>
      </c>
      <c r="D31" s="227" t="s">
        <v>49</v>
      </c>
      <c r="E31" s="51">
        <f>[3]Calib_1011!$I$93</f>
        <v>0.31311637080867849</v>
      </c>
      <c r="F31" s="65">
        <f t="shared" si="7"/>
        <v>0.31311637080867849</v>
      </c>
      <c r="G31" s="65">
        <f t="shared" si="7"/>
        <v>0.31311637080867849</v>
      </c>
      <c r="H31" s="65">
        <f t="shared" si="8"/>
        <v>0.31311637080867849</v>
      </c>
      <c r="I31" s="65">
        <f t="shared" si="8"/>
        <v>0.31311637080867849</v>
      </c>
      <c r="J31" s="65">
        <f t="shared" si="8"/>
        <v>0.31311637080867849</v>
      </c>
      <c r="K31" s="65">
        <f t="shared" si="8"/>
        <v>0.31311637080867849</v>
      </c>
      <c r="L31" s="43"/>
      <c r="M31" s="65">
        <f>E31</f>
        <v>0.31311637080867849</v>
      </c>
      <c r="N31" s="47">
        <f>M31</f>
        <v>0.31311637080867849</v>
      </c>
      <c r="O31" s="47">
        <f t="shared" si="9"/>
        <v>0.31311637080867849</v>
      </c>
      <c r="P31" s="47">
        <f t="shared" si="9"/>
        <v>0.31311637080867849</v>
      </c>
      <c r="Q31" s="47">
        <f t="shared" si="9"/>
        <v>0.31311637080867849</v>
      </c>
      <c r="R31" s="275"/>
      <c r="S31" s="65">
        <f>M31</f>
        <v>0.31311637080867849</v>
      </c>
      <c r="T31" s="78">
        <f t="shared" si="10"/>
        <v>0.29746055226824453</v>
      </c>
      <c r="U31" s="78">
        <f t="shared" si="10"/>
        <v>0.28258752465483228</v>
      </c>
      <c r="V31" s="78">
        <f t="shared" si="10"/>
        <v>0.26845814842209065</v>
      </c>
      <c r="W31" s="78">
        <f t="shared" si="10"/>
        <v>0.25503524100098612</v>
      </c>
      <c r="X31" s="275"/>
      <c r="Y31" s="275"/>
      <c r="Z31" s="275"/>
      <c r="AA31" s="275"/>
      <c r="AB31" s="275"/>
      <c r="AC31" s="275"/>
      <c r="AD31" s="275"/>
      <c r="AE31" s="275"/>
      <c r="AF31" s="275"/>
      <c r="AG31" s="275"/>
      <c r="AH31" s="275"/>
      <c r="AI31" s="275"/>
      <c r="AJ31" s="275"/>
      <c r="AK31" s="275"/>
      <c r="AL31" s="275"/>
      <c r="AM31" s="275"/>
      <c r="AN31" s="275"/>
      <c r="AO31" s="275"/>
      <c r="AP31" s="275"/>
    </row>
    <row r="32" spans="1:42">
      <c r="A32" s="227" t="s">
        <v>17</v>
      </c>
      <c r="C32" s="274" t="str">
        <f>C27</f>
        <v>High Income</v>
      </c>
      <c r="D32" s="227" t="s">
        <v>49</v>
      </c>
      <c r="E32" s="51">
        <f>[3]Calib_1011!$J$93</f>
        <v>0.41283463855351005</v>
      </c>
      <c r="F32" s="65">
        <f t="shared" si="7"/>
        <v>0.41283463855351005</v>
      </c>
      <c r="G32" s="65">
        <f t="shared" si="7"/>
        <v>0.41929077225408967</v>
      </c>
      <c r="H32" s="65">
        <f t="shared" si="8"/>
        <v>0.41929077225408967</v>
      </c>
      <c r="I32" s="65">
        <f t="shared" si="8"/>
        <v>0.42040555530697982</v>
      </c>
      <c r="J32" s="65">
        <f t="shared" si="8"/>
        <v>0.42054968561387435</v>
      </c>
      <c r="K32" s="65">
        <f t="shared" si="8"/>
        <v>0.42214508816317892</v>
      </c>
      <c r="L32" s="43"/>
      <c r="M32" s="65">
        <f>E32</f>
        <v>0.41283463855351005</v>
      </c>
      <c r="N32" s="47">
        <f>M32*(1+N21*(H21/F21-1))</f>
        <v>0.41929077225408967</v>
      </c>
      <c r="O32" s="47">
        <f>N32*(1+O21*(I21/H21-1))</f>
        <v>0.42040555530697982</v>
      </c>
      <c r="P32" s="47">
        <f>O32*(1+P21*(J21/I21-1))</f>
        <v>0.42054968561387435</v>
      </c>
      <c r="Q32" s="47">
        <f>P32*(1+Q21*(K21/J21-1))</f>
        <v>0.42214508816317892</v>
      </c>
      <c r="R32" s="275"/>
      <c r="S32" s="65">
        <f>M32</f>
        <v>0.41283463855351005</v>
      </c>
      <c r="T32" s="77">
        <f>S32*$B$27</f>
        <v>0.4025137725896723</v>
      </c>
      <c r="U32" s="77">
        <f>IF(INDEX($BF$4:$BF$7,MATCH($D$3,$BA$4:$BA$7,0)),T32*$B$27,T32)</f>
        <v>0.3924509282749305</v>
      </c>
      <c r="V32" s="77">
        <f>IF(INDEX($BF$4:$BF$7,MATCH($D$3,$BA$4:$BA$7,0)),U32*$B$27,U32)</f>
        <v>0.38263965506805725</v>
      </c>
      <c r="W32" s="77">
        <f>IF(INDEX($BF$4:$BF$7,MATCH($D$3,$BA$4:$BA$7,0)),V32*$B$27,V32)</f>
        <v>0.37307366369135581</v>
      </c>
      <c r="X32" s="275"/>
      <c r="Y32" s="275"/>
      <c r="Z32" s="275"/>
      <c r="AA32" s="275"/>
      <c r="AB32" s="275"/>
      <c r="AC32" s="275"/>
      <c r="AD32" s="275"/>
      <c r="AE32" s="275"/>
      <c r="AF32" s="275"/>
      <c r="AG32" s="275"/>
      <c r="AH32" s="275"/>
      <c r="AI32" s="275"/>
      <c r="AJ32" s="275"/>
      <c r="AK32" s="275"/>
      <c r="AL32" s="275"/>
      <c r="AM32" s="275"/>
      <c r="AN32" s="275"/>
      <c r="AO32" s="275"/>
      <c r="AP32" s="275"/>
    </row>
    <row r="33" spans="1:42">
      <c r="A33" s="227" t="s">
        <v>17</v>
      </c>
      <c r="C33" s="274"/>
      <c r="L33" s="43"/>
      <c r="M33" s="228"/>
      <c r="R33" s="275"/>
      <c r="S33" s="227" t="s">
        <v>202</v>
      </c>
      <c r="X33" s="275"/>
      <c r="Y33" s="275"/>
      <c r="Z33" s="275"/>
      <c r="AA33" s="275"/>
      <c r="AB33" s="275"/>
      <c r="AC33" s="275"/>
      <c r="AD33" s="275"/>
      <c r="AE33" s="275"/>
      <c r="AF33" s="275"/>
      <c r="AG33" s="275"/>
      <c r="AH33" s="275"/>
      <c r="AI33" s="275"/>
      <c r="AJ33" s="275"/>
      <c r="AK33" s="275"/>
      <c r="AL33" s="275"/>
      <c r="AM33" s="275"/>
      <c r="AN33" s="275"/>
      <c r="AO33" s="275"/>
      <c r="AP33" s="275"/>
    </row>
    <row r="34" spans="1:42" ht="15" thickBot="1">
      <c r="A34" s="227" t="s">
        <v>17</v>
      </c>
      <c r="B34" s="273" t="s">
        <v>190</v>
      </c>
      <c r="D34" s="273"/>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227" t="s">
        <v>17</v>
      </c>
      <c r="C35" s="274" t="str">
        <f>C30</f>
        <v>Low Income</v>
      </c>
      <c r="D35" s="227" t="s">
        <v>97</v>
      </c>
      <c r="E35" s="51">
        <f>[3]Calib_1011!$H$113</f>
        <v>1.4</v>
      </c>
      <c r="F35" s="65">
        <f t="shared" ref="F35:G38" si="11">IF($D$4,S35,M35)</f>
        <v>1.4</v>
      </c>
      <c r="G35" s="65">
        <f t="shared" si="11"/>
        <v>1.4</v>
      </c>
      <c r="H35" s="65">
        <f t="shared" ref="H35:K38" si="12">IF($D$4,T35,N35)</f>
        <v>1.4</v>
      </c>
      <c r="I35" s="65">
        <f t="shared" si="12"/>
        <v>1.4</v>
      </c>
      <c r="J35" s="65">
        <f t="shared" si="12"/>
        <v>1.4</v>
      </c>
      <c r="K35" s="65">
        <f t="shared" si="12"/>
        <v>1.4</v>
      </c>
      <c r="L35" s="43"/>
      <c r="M35" s="65">
        <f>E35</f>
        <v>1.4</v>
      </c>
      <c r="N35" s="47">
        <f>M35</f>
        <v>1.4</v>
      </c>
      <c r="O35" s="47">
        <f t="shared" ref="O35:Q38" si="13">N35</f>
        <v>1.4</v>
      </c>
      <c r="P35" s="47">
        <f t="shared" si="13"/>
        <v>1.4</v>
      </c>
      <c r="Q35" s="47">
        <f t="shared" si="13"/>
        <v>1.4</v>
      </c>
      <c r="R35" s="275"/>
      <c r="S35" s="65">
        <f>M35</f>
        <v>1.4</v>
      </c>
      <c r="T35" s="78">
        <f>S35*1.025</f>
        <v>1.4349999999999998</v>
      </c>
      <c r="U35" s="78">
        <f>T35*1.025</f>
        <v>1.4708749999999997</v>
      </c>
      <c r="V35" s="78">
        <f>U35*1.025</f>
        <v>1.5076468749999996</v>
      </c>
      <c r="W35" s="78">
        <f>V35*1.025</f>
        <v>1.5453380468749995</v>
      </c>
      <c r="X35" s="275"/>
      <c r="Y35" s="275"/>
      <c r="Z35" s="275"/>
      <c r="AA35" s="275"/>
      <c r="AB35" s="275"/>
      <c r="AC35" s="275"/>
      <c r="AD35" s="275"/>
      <c r="AE35" s="275"/>
      <c r="AF35" s="275"/>
      <c r="AG35" s="275"/>
      <c r="AH35" s="275"/>
      <c r="AI35" s="275"/>
      <c r="AJ35" s="275"/>
      <c r="AK35" s="275"/>
      <c r="AL35" s="275"/>
      <c r="AM35" s="275"/>
      <c r="AN35" s="275"/>
      <c r="AO35" s="275"/>
      <c r="AP35" s="275"/>
    </row>
    <row r="36" spans="1:42">
      <c r="A36" s="227" t="s">
        <v>17</v>
      </c>
      <c r="C36" s="274" t="str">
        <f>C31</f>
        <v>Middle Income</v>
      </c>
      <c r="D36" s="227" t="s">
        <v>97</v>
      </c>
      <c r="E36" s="51">
        <f>[3]Calib_1011!$I$113</f>
        <v>1.4</v>
      </c>
      <c r="F36" s="65">
        <f t="shared" si="11"/>
        <v>1.4</v>
      </c>
      <c r="G36" s="65">
        <f t="shared" si="11"/>
        <v>1.4</v>
      </c>
      <c r="H36" s="65">
        <f t="shared" si="12"/>
        <v>1.4</v>
      </c>
      <c r="I36" s="65">
        <f t="shared" si="12"/>
        <v>1.4</v>
      </c>
      <c r="J36" s="65">
        <f t="shared" si="12"/>
        <v>1.4</v>
      </c>
      <c r="K36" s="65">
        <f t="shared" si="12"/>
        <v>1.4</v>
      </c>
      <c r="L36" s="43"/>
      <c r="M36" s="65">
        <f>E36</f>
        <v>1.4</v>
      </c>
      <c r="N36" s="47">
        <f>M36</f>
        <v>1.4</v>
      </c>
      <c r="O36" s="47">
        <f t="shared" si="13"/>
        <v>1.4</v>
      </c>
      <c r="P36" s="47">
        <f t="shared" si="13"/>
        <v>1.4</v>
      </c>
      <c r="Q36" s="47">
        <f t="shared" si="13"/>
        <v>1.4</v>
      </c>
      <c r="R36" s="275"/>
      <c r="S36" s="65">
        <f>M36</f>
        <v>1.4</v>
      </c>
      <c r="T36" s="78">
        <f t="shared" ref="T36:W38" si="14">S36*1.025</f>
        <v>1.4349999999999998</v>
      </c>
      <c r="U36" s="78">
        <f t="shared" si="14"/>
        <v>1.4708749999999997</v>
      </c>
      <c r="V36" s="78">
        <f t="shared" si="14"/>
        <v>1.5076468749999996</v>
      </c>
      <c r="W36" s="78">
        <f t="shared" si="14"/>
        <v>1.5453380468749995</v>
      </c>
      <c r="X36" s="275"/>
      <c r="Y36" s="275"/>
      <c r="Z36" s="275"/>
      <c r="AA36" s="275"/>
      <c r="AB36" s="275"/>
      <c r="AC36" s="275"/>
      <c r="AD36" s="275"/>
      <c r="AE36" s="275"/>
      <c r="AF36" s="275"/>
      <c r="AG36" s="275"/>
      <c r="AH36" s="275"/>
      <c r="AI36" s="275"/>
      <c r="AJ36" s="275"/>
      <c r="AK36" s="275"/>
      <c r="AL36" s="275"/>
      <c r="AM36" s="275"/>
      <c r="AN36" s="275"/>
      <c r="AO36" s="275"/>
      <c r="AP36" s="275"/>
    </row>
    <row r="37" spans="1:42">
      <c r="A37" s="227" t="s">
        <v>17</v>
      </c>
      <c r="C37" s="274" t="str">
        <f>C32</f>
        <v>High Income</v>
      </c>
      <c r="D37" s="227" t="s">
        <v>97</v>
      </c>
      <c r="E37" s="51">
        <f>[3]Calib_1011!$J$113</f>
        <v>1.4</v>
      </c>
      <c r="F37" s="65">
        <f t="shared" si="11"/>
        <v>1.4</v>
      </c>
      <c r="G37" s="65">
        <f t="shared" si="11"/>
        <v>1.4</v>
      </c>
      <c r="H37" s="65">
        <f t="shared" si="12"/>
        <v>1.4</v>
      </c>
      <c r="I37" s="65">
        <f t="shared" si="12"/>
        <v>1.4</v>
      </c>
      <c r="J37" s="65">
        <f t="shared" si="12"/>
        <v>1.4</v>
      </c>
      <c r="K37" s="65">
        <f t="shared" si="12"/>
        <v>1.4</v>
      </c>
      <c r="L37" s="43"/>
      <c r="M37" s="65">
        <f>E37</f>
        <v>1.4</v>
      </c>
      <c r="N37" s="47">
        <f>M37</f>
        <v>1.4</v>
      </c>
      <c r="O37" s="47">
        <f t="shared" si="13"/>
        <v>1.4</v>
      </c>
      <c r="P37" s="47">
        <f t="shared" si="13"/>
        <v>1.4</v>
      </c>
      <c r="Q37" s="47">
        <f t="shared" si="13"/>
        <v>1.4</v>
      </c>
      <c r="R37" s="275"/>
      <c r="S37" s="65">
        <f>M37</f>
        <v>1.4</v>
      </c>
      <c r="T37" s="78">
        <f>S37*1.025</f>
        <v>1.4349999999999998</v>
      </c>
      <c r="U37" s="78">
        <f>T37*1.025</f>
        <v>1.4708749999999997</v>
      </c>
      <c r="V37" s="78">
        <f>U37*1.025</f>
        <v>1.5076468749999996</v>
      </c>
      <c r="W37" s="78">
        <f>V37*1.025</f>
        <v>1.5453380468749995</v>
      </c>
      <c r="X37" s="275"/>
      <c r="Y37" s="275"/>
      <c r="Z37" s="275"/>
      <c r="AA37" s="275"/>
      <c r="AB37" s="275"/>
      <c r="AC37" s="275"/>
      <c r="AD37" s="275"/>
      <c r="AE37" s="275"/>
      <c r="AF37" s="275"/>
      <c r="AG37" s="275"/>
      <c r="AH37" s="275"/>
      <c r="AI37" s="275"/>
      <c r="AJ37" s="275"/>
      <c r="AK37" s="275"/>
      <c r="AL37" s="275"/>
      <c r="AM37" s="275"/>
      <c r="AN37" s="275"/>
      <c r="AO37" s="275"/>
      <c r="AP37" s="275"/>
    </row>
    <row r="38" spans="1:42">
      <c r="A38" s="227" t="s">
        <v>17</v>
      </c>
      <c r="C38" s="274" t="s">
        <v>196</v>
      </c>
      <c r="D38" s="227" t="s">
        <v>97</v>
      </c>
      <c r="E38" s="51">
        <f>[3]Calib_1011!K113</f>
        <v>1.4</v>
      </c>
      <c r="F38" s="65">
        <f t="shared" si="11"/>
        <v>1.4</v>
      </c>
      <c r="G38" s="65">
        <f t="shared" si="11"/>
        <v>1.4</v>
      </c>
      <c r="H38" s="65">
        <f t="shared" si="12"/>
        <v>1.4</v>
      </c>
      <c r="I38" s="65">
        <f t="shared" si="12"/>
        <v>1.4</v>
      </c>
      <c r="J38" s="65">
        <f t="shared" si="12"/>
        <v>1.4</v>
      </c>
      <c r="K38" s="65">
        <f t="shared" si="12"/>
        <v>1.4</v>
      </c>
      <c r="M38" s="65">
        <f>E38</f>
        <v>1.4</v>
      </c>
      <c r="N38" s="47">
        <f>M38</f>
        <v>1.4</v>
      </c>
      <c r="O38" s="47">
        <f t="shared" si="13"/>
        <v>1.4</v>
      </c>
      <c r="P38" s="47">
        <f t="shared" si="13"/>
        <v>1.4</v>
      </c>
      <c r="Q38" s="47">
        <f t="shared" si="13"/>
        <v>1.4</v>
      </c>
      <c r="S38" s="65">
        <f>M38</f>
        <v>1.4</v>
      </c>
      <c r="T38" s="78">
        <f t="shared" si="14"/>
        <v>1.4349999999999998</v>
      </c>
      <c r="U38" s="78">
        <f t="shared" si="14"/>
        <v>1.4708749999999997</v>
      </c>
      <c r="V38" s="78">
        <f t="shared" si="14"/>
        <v>1.5076468749999996</v>
      </c>
      <c r="W38" s="78">
        <f t="shared" si="14"/>
        <v>1.5453380468749995</v>
      </c>
    </row>
    <row r="39" spans="1:42">
      <c r="A39" s="227" t="s">
        <v>17</v>
      </c>
      <c r="C39" s="274"/>
      <c r="L39" s="43"/>
      <c r="M39" s="228"/>
      <c r="R39" s="275"/>
      <c r="S39" s="227" t="s">
        <v>203</v>
      </c>
      <c r="X39" s="275"/>
      <c r="Y39" s="275"/>
      <c r="Z39" s="275"/>
      <c r="AA39" s="275"/>
      <c r="AB39" s="275"/>
      <c r="AC39" s="275"/>
      <c r="AD39" s="275"/>
      <c r="AE39" s="275"/>
      <c r="AF39" s="275"/>
      <c r="AG39" s="275"/>
      <c r="AH39" s="275"/>
      <c r="AI39" s="275"/>
      <c r="AJ39" s="275"/>
      <c r="AK39" s="275"/>
      <c r="AL39" s="275"/>
      <c r="AM39" s="275"/>
      <c r="AN39" s="275"/>
      <c r="AO39" s="275"/>
      <c r="AP39" s="275"/>
    </row>
    <row r="40" spans="1:42" ht="15" thickBot="1">
      <c r="A40" s="227" t="s">
        <v>17</v>
      </c>
      <c r="B40" s="273" t="s">
        <v>191</v>
      </c>
      <c r="D40" s="273"/>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227" t="s">
        <v>17</v>
      </c>
      <c r="C41" s="274" t="str">
        <f>C35</f>
        <v>Low Income</v>
      </c>
      <c r="D41" s="36" t="s">
        <v>172</v>
      </c>
      <c r="E41" s="51">
        <f>[3]Calib_1011!$H$118</f>
        <v>8.0274119837508469</v>
      </c>
      <c r="F41" s="65">
        <f t="shared" ref="F41:G44" si="15">IF($D$4,S41,M41)</f>
        <v>8.0274119837508469</v>
      </c>
      <c r="G41" s="65">
        <f t="shared" si="15"/>
        <v>8.0274119837508469</v>
      </c>
      <c r="H41" s="65">
        <f t="shared" ref="H41:K44" si="16">IF($D$4,T41,N41)</f>
        <v>8.0274119837508469</v>
      </c>
      <c r="I41" s="65">
        <f t="shared" si="16"/>
        <v>8.0274119837508469</v>
      </c>
      <c r="J41" s="65">
        <f t="shared" si="16"/>
        <v>8.0274119837508469</v>
      </c>
      <c r="K41" s="65">
        <f t="shared" si="16"/>
        <v>8.0274119837508469</v>
      </c>
      <c r="L41" s="43"/>
      <c r="M41" s="65">
        <f>E41</f>
        <v>8.0274119837508469</v>
      </c>
      <c r="N41" s="47">
        <f>M41</f>
        <v>8.0274119837508469</v>
      </c>
      <c r="O41" s="47">
        <f t="shared" ref="O41:Q44" si="17">N41</f>
        <v>8.0274119837508469</v>
      </c>
      <c r="P41" s="47">
        <f t="shared" si="17"/>
        <v>8.0274119837508469</v>
      </c>
      <c r="Q41" s="47">
        <f t="shared" si="17"/>
        <v>8.0274119837508469</v>
      </c>
      <c r="R41" s="275"/>
      <c r="S41" s="65">
        <f>M41</f>
        <v>8.0274119837508469</v>
      </c>
      <c r="T41" s="78">
        <f>S41*0.95</f>
        <v>7.6260413845633037</v>
      </c>
      <c r="U41" s="78">
        <f>T41*0.95</f>
        <v>7.2447393153351385</v>
      </c>
      <c r="V41" s="78">
        <f>U41*0.95</f>
        <v>6.882502349568381</v>
      </c>
      <c r="W41" s="78">
        <f>V41*0.95</f>
        <v>6.538377232089962</v>
      </c>
      <c r="X41" s="275"/>
      <c r="Y41" s="275"/>
      <c r="Z41" s="275"/>
      <c r="AA41" s="275"/>
      <c r="AB41" s="275"/>
      <c r="AC41" s="275"/>
      <c r="AD41" s="275"/>
      <c r="AE41" s="275"/>
      <c r="AF41" s="275"/>
      <c r="AG41" s="275"/>
      <c r="AH41" s="275"/>
      <c r="AI41" s="275"/>
      <c r="AJ41" s="275"/>
      <c r="AK41" s="275"/>
      <c r="AL41" s="275"/>
      <c r="AM41" s="275"/>
      <c r="AN41" s="275"/>
      <c r="AO41" s="275"/>
      <c r="AP41" s="275"/>
    </row>
    <row r="42" spans="1:42">
      <c r="A42" s="227" t="s">
        <v>17</v>
      </c>
      <c r="B42" s="236">
        <v>1.2</v>
      </c>
      <c r="C42" s="274" t="str">
        <f>C36</f>
        <v>Middle Income</v>
      </c>
      <c r="D42" s="36" t="s">
        <v>172</v>
      </c>
      <c r="E42" s="51">
        <f>[3]Calib_1011!$I$118</f>
        <v>13.418073439870216</v>
      </c>
      <c r="F42" s="65">
        <f t="shared" si="15"/>
        <v>11.181727866558514</v>
      </c>
      <c r="G42" s="65">
        <f t="shared" si="15"/>
        <v>11.181727866558514</v>
      </c>
      <c r="H42" s="65">
        <f t="shared" si="16"/>
        <v>11.181727866558514</v>
      </c>
      <c r="I42" s="65">
        <f t="shared" si="16"/>
        <v>11.181727866558514</v>
      </c>
      <c r="J42" s="65">
        <f t="shared" si="16"/>
        <v>11.181727866558514</v>
      </c>
      <c r="K42" s="65">
        <f t="shared" si="16"/>
        <v>11.181727866558514</v>
      </c>
      <c r="L42" s="43"/>
      <c r="M42" s="65">
        <f>E42/B42</f>
        <v>11.181727866558514</v>
      </c>
      <c r="N42" s="222">
        <f>M42</f>
        <v>11.181727866558514</v>
      </c>
      <c r="O42" s="222">
        <f>N42</f>
        <v>11.181727866558514</v>
      </c>
      <c r="P42" s="222">
        <f>O42</f>
        <v>11.181727866558514</v>
      </c>
      <c r="Q42" s="222">
        <f>P42</f>
        <v>11.181727866558514</v>
      </c>
      <c r="R42" s="275"/>
      <c r="S42" s="65">
        <f>M42</f>
        <v>11.181727866558514</v>
      </c>
      <c r="T42" s="78">
        <f t="shared" ref="T42:W44" si="18">S42*0.95</f>
        <v>10.622641473230589</v>
      </c>
      <c r="U42" s="78">
        <f t="shared" si="18"/>
        <v>10.091509399569059</v>
      </c>
      <c r="V42" s="78">
        <f t="shared" si="18"/>
        <v>9.5869339295906055</v>
      </c>
      <c r="W42" s="78">
        <f t="shared" si="18"/>
        <v>9.1075872331110741</v>
      </c>
      <c r="X42" s="275"/>
      <c r="Y42" s="275"/>
      <c r="Z42" s="275"/>
      <c r="AA42" s="275"/>
      <c r="AB42" s="275"/>
      <c r="AC42" s="275"/>
      <c r="AD42" s="275"/>
      <c r="AE42" s="275"/>
      <c r="AF42" s="275"/>
      <c r="AG42" s="275"/>
      <c r="AH42" s="275"/>
      <c r="AI42" s="275"/>
      <c r="AJ42" s="275"/>
      <c r="AK42" s="275"/>
      <c r="AL42" s="275"/>
      <c r="AM42" s="275"/>
      <c r="AN42" s="275"/>
      <c r="AO42" s="275"/>
      <c r="AP42" s="275"/>
    </row>
    <row r="43" spans="1:42">
      <c r="A43" s="227" t="s">
        <v>17</v>
      </c>
      <c r="C43" s="274" t="str">
        <f>C37</f>
        <v>High Income</v>
      </c>
      <c r="D43" s="36" t="s">
        <v>172</v>
      </c>
      <c r="E43" s="51">
        <f>[3]Calib_1011!$J$118</f>
        <v>15.663966300310799</v>
      </c>
      <c r="F43" s="65">
        <f t="shared" si="15"/>
        <v>13.053305250258999</v>
      </c>
      <c r="G43" s="65">
        <f t="shared" si="15"/>
        <v>13.053305250258999</v>
      </c>
      <c r="H43" s="65">
        <f t="shared" si="16"/>
        <v>13.053305250258999</v>
      </c>
      <c r="I43" s="65">
        <f t="shared" si="16"/>
        <v>13.053305250258999</v>
      </c>
      <c r="J43" s="65">
        <f t="shared" si="16"/>
        <v>13.053305250258999</v>
      </c>
      <c r="K43" s="65">
        <f t="shared" si="16"/>
        <v>13.053305250258999</v>
      </c>
      <c r="L43" s="43"/>
      <c r="M43" s="65">
        <f>E43/B42</f>
        <v>13.053305250258999</v>
      </c>
      <c r="N43" s="47">
        <f>M43</f>
        <v>13.053305250258999</v>
      </c>
      <c r="O43" s="47">
        <f>N43</f>
        <v>13.053305250258999</v>
      </c>
      <c r="P43" s="47">
        <f t="shared" si="17"/>
        <v>13.053305250258999</v>
      </c>
      <c r="Q43" s="47">
        <f t="shared" si="17"/>
        <v>13.053305250258999</v>
      </c>
      <c r="R43" s="275"/>
      <c r="S43" s="65">
        <f>M43</f>
        <v>13.053305250258999</v>
      </c>
      <c r="T43" s="78">
        <f t="shared" si="18"/>
        <v>12.400639987746048</v>
      </c>
      <c r="U43" s="78">
        <f t="shared" si="18"/>
        <v>11.780607988358746</v>
      </c>
      <c r="V43" s="78">
        <f t="shared" si="18"/>
        <v>11.191577588940808</v>
      </c>
      <c r="W43" s="78">
        <f t="shared" si="18"/>
        <v>10.631998709493766</v>
      </c>
      <c r="X43" s="275"/>
      <c r="Y43" s="275"/>
      <c r="Z43" s="275"/>
      <c r="AA43" s="275"/>
      <c r="AB43" s="275"/>
      <c r="AC43" s="275"/>
      <c r="AD43" s="275"/>
      <c r="AE43" s="275"/>
      <c r="AF43" s="275"/>
      <c r="AG43" s="275"/>
      <c r="AH43" s="275"/>
      <c r="AI43" s="275"/>
      <c r="AJ43" s="275"/>
      <c r="AK43" s="275"/>
      <c r="AL43" s="275"/>
      <c r="AM43" s="275"/>
      <c r="AN43" s="275"/>
      <c r="AO43" s="275"/>
      <c r="AP43" s="275"/>
    </row>
    <row r="44" spans="1:42">
      <c r="A44" s="227" t="s">
        <v>17</v>
      </c>
      <c r="C44" s="274" t="s">
        <v>196</v>
      </c>
      <c r="D44" s="36" t="s">
        <v>172</v>
      </c>
      <c r="E44" s="51">
        <f>[3]Calib_1011!$K$118</f>
        <v>13.5</v>
      </c>
      <c r="F44" s="65">
        <f t="shared" si="15"/>
        <v>13.5</v>
      </c>
      <c r="G44" s="65">
        <f t="shared" si="15"/>
        <v>13.5</v>
      </c>
      <c r="H44" s="65">
        <f t="shared" si="16"/>
        <v>13.5</v>
      </c>
      <c r="I44" s="65">
        <f t="shared" si="16"/>
        <v>13.5</v>
      </c>
      <c r="J44" s="65">
        <f t="shared" si="16"/>
        <v>13.5</v>
      </c>
      <c r="K44" s="65">
        <f t="shared" si="16"/>
        <v>13.5</v>
      </c>
      <c r="L44" s="43"/>
      <c r="M44" s="65">
        <f>E44</f>
        <v>13.5</v>
      </c>
      <c r="N44" s="47">
        <f>M44</f>
        <v>13.5</v>
      </c>
      <c r="O44" s="47">
        <f t="shared" si="17"/>
        <v>13.5</v>
      </c>
      <c r="P44" s="47">
        <f t="shared" si="17"/>
        <v>13.5</v>
      </c>
      <c r="Q44" s="47">
        <f t="shared" si="17"/>
        <v>13.5</v>
      </c>
      <c r="R44" s="275"/>
      <c r="S44" s="65">
        <f>M44</f>
        <v>13.5</v>
      </c>
      <c r="T44" s="78">
        <f t="shared" si="18"/>
        <v>12.824999999999999</v>
      </c>
      <c r="U44" s="78">
        <f t="shared" si="18"/>
        <v>12.183749999999998</v>
      </c>
      <c r="V44" s="78">
        <f t="shared" si="18"/>
        <v>11.574562499999997</v>
      </c>
      <c r="W44" s="78">
        <f t="shared" si="18"/>
        <v>10.995834374999998</v>
      </c>
      <c r="X44" s="275"/>
      <c r="Y44" s="275"/>
      <c r="Z44" s="275"/>
      <c r="AA44" s="275"/>
      <c r="AB44" s="275"/>
      <c r="AC44" s="275"/>
      <c r="AD44" s="275"/>
      <c r="AE44" s="275"/>
      <c r="AF44" s="275"/>
      <c r="AG44" s="275"/>
      <c r="AH44" s="275"/>
      <c r="AI44" s="275"/>
      <c r="AJ44" s="275"/>
      <c r="AK44" s="275"/>
      <c r="AL44" s="275"/>
      <c r="AM44" s="275"/>
      <c r="AN44" s="275"/>
      <c r="AO44" s="275"/>
      <c r="AP44" s="275"/>
    </row>
    <row r="45" spans="1:42">
      <c r="A45" s="227" t="s">
        <v>17</v>
      </c>
      <c r="C45" s="274" t="s">
        <v>7</v>
      </c>
      <c r="D45" s="36" t="s">
        <v>172</v>
      </c>
      <c r="E45" s="228">
        <f t="shared" ref="E45:K45" si="19">SUMPRODUCT(E41:E44,E54:E57)/SUM(E54:E57)</f>
        <v>14.566923005082051</v>
      </c>
      <c r="F45" s="228">
        <f t="shared" si="19"/>
        <v>12.297826290242092</v>
      </c>
      <c r="G45" s="228">
        <f t="shared" ref="G45" si="20">SUMPRODUCT(G41:G44,G54:G57)/SUM(G54:G57)</f>
        <v>12.339832622456116</v>
      </c>
      <c r="H45" s="228">
        <f t="shared" si="19"/>
        <v>12.339832622456116</v>
      </c>
      <c r="I45" s="228">
        <f t="shared" si="19"/>
        <v>12.372631190719856</v>
      </c>
      <c r="J45" s="228">
        <f t="shared" si="19"/>
        <v>12.400230852668741</v>
      </c>
      <c r="K45" s="228">
        <f t="shared" si="19"/>
        <v>12.419065707066077</v>
      </c>
      <c r="L45" s="43"/>
      <c r="M45" s="228"/>
      <c r="R45" s="275"/>
      <c r="S45" s="275"/>
      <c r="T45" s="275"/>
      <c r="U45" s="275"/>
      <c r="V45" s="275"/>
      <c r="W45" s="275"/>
      <c r="X45" s="275"/>
      <c r="Y45" s="275"/>
      <c r="Z45" s="275"/>
      <c r="AA45" s="275"/>
      <c r="AB45" s="275"/>
      <c r="AC45" s="275"/>
      <c r="AD45" s="275"/>
      <c r="AE45" s="275"/>
      <c r="AF45" s="275"/>
      <c r="AG45" s="275"/>
      <c r="AH45" s="275"/>
      <c r="AI45" s="275"/>
      <c r="AJ45" s="275"/>
      <c r="AK45" s="275"/>
      <c r="AL45" s="275"/>
      <c r="AM45" s="275"/>
      <c r="AN45" s="275"/>
      <c r="AO45" s="275"/>
      <c r="AP45" s="275"/>
    </row>
    <row r="46" spans="1:42" ht="15" thickBot="1">
      <c r="A46" s="227" t="s">
        <v>17</v>
      </c>
      <c r="C46" s="273" t="s">
        <v>162</v>
      </c>
      <c r="D46" s="273"/>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75"/>
      <c r="Y46" s="275"/>
      <c r="Z46" s="275"/>
      <c r="AA46" s="275"/>
      <c r="AB46" s="275"/>
      <c r="AC46" s="275"/>
      <c r="AD46" s="275"/>
      <c r="AE46" s="275"/>
      <c r="AF46" s="275"/>
      <c r="AG46" s="275"/>
      <c r="AH46" s="275"/>
      <c r="AI46" s="275"/>
      <c r="AJ46" s="275"/>
      <c r="AK46" s="275"/>
      <c r="AL46" s="275"/>
      <c r="AM46" s="275"/>
      <c r="AN46" s="275"/>
      <c r="AO46" s="275"/>
      <c r="AP46" s="275"/>
    </row>
    <row r="47" spans="1:42">
      <c r="A47" s="227" t="s">
        <v>17</v>
      </c>
      <c r="C47" s="227" t="s">
        <v>14</v>
      </c>
      <c r="E47" s="228">
        <f>FTRA!F7</f>
        <v>2.9857347895642108E-2</v>
      </c>
      <c r="F47" s="228">
        <f>FTRA!G7</f>
        <v>3.1957089069586712E-2</v>
      </c>
      <c r="G47" s="228">
        <f>FTRA!I7</f>
        <v>3.3315783676328731E-2</v>
      </c>
      <c r="H47" s="228">
        <f>FTRA!I7</f>
        <v>3.3315783676328731E-2</v>
      </c>
      <c r="I47" s="228">
        <f>FTRA!J7</f>
        <v>3.9393555010369931E-2</v>
      </c>
      <c r="J47" s="228">
        <f>FTRA!K7</f>
        <v>4.8285991518724383E-2</v>
      </c>
      <c r="K47" s="228">
        <f>FTRA!L7</f>
        <v>5.8299222792853836E-2</v>
      </c>
      <c r="L47" s="43"/>
      <c r="M47" s="228">
        <f>SUMIF(FTRA!$N$4:$AR$4,M46,FTRA!$N$7:$AR$7)</f>
        <v>6.3914178139173425E-2</v>
      </c>
      <c r="N47" s="228">
        <f>SUMIF(FTRA!$N$4:$AR$4,N46,FTRA!$N$7:$AR$7)</f>
        <v>6.6631567352657461E-2</v>
      </c>
      <c r="O47" s="228">
        <f>SUMIF(FTRA!$N$4:$AR$4,O46,FTRA!$N$7:$AR$7)</f>
        <v>7.8787110020739862E-2</v>
      </c>
      <c r="P47" s="228">
        <f>SUMIF(FTRA!$N$4:$AR$4,P46,FTRA!$N$7:$AR$7)</f>
        <v>9.6571983037448766E-2</v>
      </c>
      <c r="Q47" s="228">
        <f>SUMIF(FTRA!$N$4:$AR$4,Q46,FTRA!$N$7:$AR$7)</f>
        <v>0.11659844558570767</v>
      </c>
      <c r="R47" s="275"/>
      <c r="S47" s="228">
        <f>SUMIF(FTRA!$N$4:$AR$4,S46,FTRA!$N$7:$AR$7)</f>
        <v>6.3914178139173425E-2</v>
      </c>
      <c r="T47" s="228">
        <f>SUMIF(FTRA!$N$4:$AR$4,T46,FTRA!$N$7:$AR$7)</f>
        <v>6.6631567352657461E-2</v>
      </c>
      <c r="U47" s="228">
        <f>SUMIF(FTRA!$N$4:$AR$4,U46,FTRA!$N$7:$AR$7)</f>
        <v>7.8787110020739862E-2</v>
      </c>
      <c r="V47" s="228">
        <f>SUMIF(FTRA!$N$4:$AR$4,V46,FTRA!$N$7:$AR$7)</f>
        <v>9.6571983037448766E-2</v>
      </c>
      <c r="W47" s="228">
        <f>SUMIF(FTRA!$N$4:$AR$4,W46,FTRA!$N$7:$AR$7)</f>
        <v>0.11659844558570767</v>
      </c>
      <c r="X47" s="275"/>
      <c r="Y47" s="275"/>
      <c r="Z47" s="275"/>
      <c r="AA47" s="275"/>
      <c r="AB47" s="275"/>
      <c r="AC47" s="275"/>
      <c r="AD47" s="275"/>
      <c r="AE47" s="275"/>
      <c r="AF47" s="275"/>
      <c r="AG47" s="275"/>
      <c r="AH47" s="275"/>
      <c r="AI47" s="275"/>
      <c r="AJ47" s="275"/>
      <c r="AK47" s="275"/>
      <c r="AL47" s="275"/>
      <c r="AM47" s="275"/>
      <c r="AN47" s="275"/>
      <c r="AO47" s="275"/>
      <c r="AP47" s="275"/>
    </row>
    <row r="48" spans="1:42">
      <c r="A48" s="227" t="s">
        <v>17</v>
      </c>
      <c r="C48" s="227" t="s">
        <v>164</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75"/>
      <c r="S48" s="80">
        <f>$F48</f>
        <v>0.5</v>
      </c>
      <c r="T48" s="48">
        <f>S48</f>
        <v>0.5</v>
      </c>
      <c r="U48" s="48">
        <f>T48</f>
        <v>0.5</v>
      </c>
      <c r="V48" s="48">
        <v>0.4</v>
      </c>
      <c r="W48" s="48">
        <v>0.3</v>
      </c>
      <c r="X48" s="275"/>
      <c r="Y48" s="275"/>
      <c r="Z48" s="275"/>
      <c r="AA48" s="275"/>
      <c r="AB48" s="275"/>
      <c r="AC48" s="275"/>
      <c r="AD48" s="275"/>
      <c r="AE48" s="275"/>
      <c r="AF48" s="275"/>
      <c r="AG48" s="275"/>
      <c r="AH48" s="275"/>
      <c r="AI48" s="275"/>
      <c r="AJ48" s="275"/>
      <c r="AK48" s="275"/>
      <c r="AL48" s="275"/>
      <c r="AM48" s="275"/>
      <c r="AN48" s="275"/>
      <c r="AO48" s="275"/>
      <c r="AP48" s="275"/>
    </row>
    <row r="49" spans="1:42">
      <c r="A49" s="227" t="s">
        <v>17</v>
      </c>
      <c r="C49" s="274" t="s">
        <v>163</v>
      </c>
      <c r="D49" s="227" t="s">
        <v>165</v>
      </c>
      <c r="E49" s="76">
        <f>[3]Calib_1011!$K$116</f>
        <v>0.44857633535499813</v>
      </c>
      <c r="F49" s="24">
        <f>E49*(1+(F48*(F47/E47-1)))</f>
        <v>0.4643495748988149</v>
      </c>
      <c r="G49" s="24">
        <f>F49*(1+(G48*(G47/F47-1)))</f>
        <v>0.47422076907554611</v>
      </c>
      <c r="H49" s="228">
        <f>F49*(1+(H48*(H47/F47-1)))</f>
        <v>0.47422076907554611</v>
      </c>
      <c r="I49" s="228">
        <f>H49*(1+(I48*(I47/H47-1)))</f>
        <v>0.51747662378236725</v>
      </c>
      <c r="J49" s="228">
        <f>I49*(1+(J48*(J47/I47-1)))</f>
        <v>0.56420130268307567</v>
      </c>
      <c r="K49" s="228">
        <f>J49*(1+(K48*(K47/J47-1)))</f>
        <v>0.599301409057033</v>
      </c>
      <c r="L49" s="43"/>
      <c r="M49" s="228">
        <f>$F49</f>
        <v>0.4643495748988149</v>
      </c>
      <c r="N49" s="228">
        <f>M49*(1+(N48*(N47/M47-1)))</f>
        <v>0.47422076907554611</v>
      </c>
      <c r="O49" s="228">
        <f>N49*(1+(O48*(O47/N47-1)))</f>
        <v>0.51747662378236725</v>
      </c>
      <c r="P49" s="228">
        <f>O49*(1+(P48*(P47/O47-1)))</f>
        <v>0.56420130268307567</v>
      </c>
      <c r="Q49" s="228">
        <f>P49*(1+(Q48*(Q47/P47-1)))</f>
        <v>0.599301409057033</v>
      </c>
      <c r="R49" s="275"/>
      <c r="S49" s="228">
        <f>$F49</f>
        <v>0.4643495748988149</v>
      </c>
      <c r="T49" s="228">
        <f>S49*(1+(T48*(T47/S47-1)))</f>
        <v>0.47422076907554611</v>
      </c>
      <c r="U49" s="228">
        <f>T49*(1+(U48*(U47/T47-1)))</f>
        <v>0.51747662378236725</v>
      </c>
      <c r="V49" s="228">
        <f>U49*(1+(V48*(V47/U47-1)))</f>
        <v>0.56420130268307567</v>
      </c>
      <c r="W49" s="228">
        <f>V49*(1+(W48*(W47/V47-1)))</f>
        <v>0.599301409057033</v>
      </c>
      <c r="X49" s="275"/>
      <c r="Y49" s="275"/>
      <c r="Z49" s="275"/>
      <c r="AA49" s="275"/>
      <c r="AB49" s="275"/>
      <c r="AC49" s="275"/>
      <c r="AD49" s="275"/>
      <c r="AE49" s="275"/>
      <c r="AF49" s="275"/>
      <c r="AG49" s="275"/>
      <c r="AH49" s="275"/>
      <c r="AI49" s="275"/>
      <c r="AJ49" s="275"/>
      <c r="AK49" s="275"/>
      <c r="AL49" s="275"/>
      <c r="AM49" s="275"/>
      <c r="AN49" s="275"/>
      <c r="AO49" s="275"/>
      <c r="AP49" s="275"/>
    </row>
    <row r="50" spans="1:42">
      <c r="A50" s="227" t="s">
        <v>17</v>
      </c>
      <c r="C50" s="274" t="s">
        <v>173</v>
      </c>
      <c r="D50" s="227" t="s">
        <v>174</v>
      </c>
      <c r="E50" s="228">
        <f t="shared" ref="E50:K50" si="21">E49*E44</f>
        <v>6.055780527292475</v>
      </c>
      <c r="F50" s="228">
        <f t="shared" si="21"/>
        <v>6.2687192611340015</v>
      </c>
      <c r="G50" s="228">
        <f t="shared" si="21"/>
        <v>6.4019803825198727</v>
      </c>
      <c r="H50" s="228">
        <f t="shared" si="21"/>
        <v>6.4019803825198727</v>
      </c>
      <c r="I50" s="228">
        <f>I49*I44</f>
        <v>6.9859344210619581</v>
      </c>
      <c r="J50" s="228">
        <f t="shared" si="21"/>
        <v>7.6167175862215215</v>
      </c>
      <c r="K50" s="228">
        <f t="shared" si="21"/>
        <v>8.0905690222699462</v>
      </c>
      <c r="L50" s="43"/>
      <c r="M50" s="228">
        <f>M49*M44</f>
        <v>6.2687192611340015</v>
      </c>
      <c r="N50" s="228">
        <f>N49*N44</f>
        <v>6.4019803825198727</v>
      </c>
      <c r="O50" s="228">
        <f>O49*O44</f>
        <v>6.9859344210619581</v>
      </c>
      <c r="P50" s="228">
        <f>P49*P44</f>
        <v>7.6167175862215215</v>
      </c>
      <c r="Q50" s="228">
        <f>Q49*Q44</f>
        <v>8.0905690222699462</v>
      </c>
      <c r="R50" s="275"/>
      <c r="S50" s="228">
        <f>S49*S44</f>
        <v>6.2687192611340015</v>
      </c>
      <c r="T50" s="228">
        <f>T49*T44</f>
        <v>6.0818813633938786</v>
      </c>
      <c r="U50" s="228">
        <f>U49*U44</f>
        <v>6.3048058150084163</v>
      </c>
      <c r="V50" s="228">
        <f>V49*V44</f>
        <v>6.5303832404866755</v>
      </c>
      <c r="W50" s="228">
        <f>W49*W44</f>
        <v>6.5898190346952585</v>
      </c>
      <c r="X50" s="275"/>
      <c r="Y50" s="275"/>
      <c r="Z50" s="275"/>
      <c r="AA50" s="275"/>
      <c r="AB50" s="275"/>
      <c r="AC50" s="275"/>
      <c r="AD50" s="275"/>
      <c r="AE50" s="275"/>
      <c r="AF50" s="275"/>
      <c r="AG50" s="275"/>
      <c r="AH50" s="275"/>
      <c r="AI50" s="275"/>
      <c r="AJ50" s="275"/>
      <c r="AK50" s="275"/>
      <c r="AL50" s="275"/>
      <c r="AM50" s="275"/>
      <c r="AN50" s="275"/>
      <c r="AO50" s="275"/>
      <c r="AP50" s="275"/>
    </row>
    <row r="51" spans="1:42">
      <c r="A51" s="227" t="s">
        <v>17</v>
      </c>
      <c r="C51" s="274" t="s">
        <v>175</v>
      </c>
      <c r="D51" s="227" t="s">
        <v>137</v>
      </c>
      <c r="E51" s="228">
        <f t="shared" ref="E51:K51" si="22">E50*E38</f>
        <v>8.4780927382094635</v>
      </c>
      <c r="F51" s="228">
        <f t="shared" si="22"/>
        <v>8.7762069655876012</v>
      </c>
      <c r="G51" s="228">
        <f t="shared" si="22"/>
        <v>8.9627725355278205</v>
      </c>
      <c r="H51" s="228">
        <f t="shared" si="22"/>
        <v>8.9627725355278205</v>
      </c>
      <c r="I51" s="228">
        <f t="shared" si="22"/>
        <v>9.7803081894867407</v>
      </c>
      <c r="J51" s="228">
        <f t="shared" si="22"/>
        <v>10.66340462071013</v>
      </c>
      <c r="K51" s="228">
        <f t="shared" si="22"/>
        <v>11.326796631177924</v>
      </c>
      <c r="L51" s="43"/>
      <c r="M51" s="228">
        <f>M50*M38</f>
        <v>8.7762069655876012</v>
      </c>
      <c r="N51" s="228">
        <f>N50*N38</f>
        <v>8.9627725355278205</v>
      </c>
      <c r="O51" s="228">
        <f>O50*O38</f>
        <v>9.7803081894867407</v>
      </c>
      <c r="P51" s="228">
        <f>P50*P38</f>
        <v>10.66340462071013</v>
      </c>
      <c r="Q51" s="228">
        <f>Q50*Q38</f>
        <v>11.326796631177924</v>
      </c>
      <c r="R51" s="275"/>
      <c r="S51" s="228">
        <f>S50*S38</f>
        <v>8.7762069655876012</v>
      </c>
      <c r="T51" s="228">
        <f>T50*T38</f>
        <v>8.7274997564702144</v>
      </c>
      <c r="U51" s="228">
        <f>U50*U38</f>
        <v>9.2735812531505033</v>
      </c>
      <c r="V51" s="228">
        <f>V50*V38</f>
        <v>9.8455118850721064</v>
      </c>
      <c r="W51" s="228">
        <f>W50*W38</f>
        <v>10.183498076335665</v>
      </c>
      <c r="X51" s="275"/>
      <c r="Y51" s="275"/>
      <c r="Z51" s="275"/>
      <c r="AA51" s="275"/>
      <c r="AB51" s="275"/>
      <c r="AC51" s="275"/>
      <c r="AD51" s="275"/>
      <c r="AE51" s="275"/>
      <c r="AF51" s="275"/>
      <c r="AG51" s="275"/>
      <c r="AH51" s="275"/>
      <c r="AI51" s="275"/>
      <c r="AJ51" s="275"/>
      <c r="AK51" s="275"/>
      <c r="AL51" s="275"/>
      <c r="AM51" s="275"/>
      <c r="AN51" s="275"/>
      <c r="AO51" s="275"/>
      <c r="AP51" s="275"/>
    </row>
    <row r="52" spans="1:42">
      <c r="A52" s="227" t="s">
        <v>17</v>
      </c>
      <c r="C52" s="274"/>
      <c r="E52" s="30"/>
    </row>
    <row r="53" spans="1:42" ht="15" thickBot="1">
      <c r="A53" s="227" t="s">
        <v>17</v>
      </c>
      <c r="B53" s="273" t="s">
        <v>85</v>
      </c>
      <c r="D53" s="273"/>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227" t="s">
        <v>17</v>
      </c>
      <c r="C54" s="274" t="str">
        <f>C30</f>
        <v>Low Income</v>
      </c>
      <c r="D54" s="227" t="s">
        <v>68</v>
      </c>
      <c r="E54" s="228">
        <f>E30*E25*E13</f>
        <v>0.11720000000000001</v>
      </c>
      <c r="F54" s="65">
        <f t="shared" ref="F54:G61" si="23">IF($D$4,S54,M54)</f>
        <v>0.11720000000000001</v>
      </c>
      <c r="G54" s="65">
        <f t="shared" si="23"/>
        <v>0.11432037615472779</v>
      </c>
      <c r="H54" s="228">
        <f t="shared" ref="H54:K61" si="24">IF($D$4,T54,N54)</f>
        <v>0.11432037615472779</v>
      </c>
      <c r="I54" s="228">
        <f t="shared" si="24"/>
        <v>0.10977598336261295</v>
      </c>
      <c r="J54" s="228">
        <f t="shared" si="24"/>
        <v>0.1022096304743277</v>
      </c>
      <c r="K54" s="228">
        <f t="shared" si="24"/>
        <v>9.7838146023009526E-2</v>
      </c>
      <c r="L54" s="43"/>
      <c r="M54" s="228">
        <f t="shared" ref="M54:Q56" si="25">M30*M25*M13</f>
        <v>0.11720000000000001</v>
      </c>
      <c r="N54" s="228">
        <f t="shared" si="25"/>
        <v>0.11432037615472779</v>
      </c>
      <c r="O54" s="228">
        <f t="shared" si="25"/>
        <v>0.10977598336261295</v>
      </c>
      <c r="P54" s="228">
        <f t="shared" si="25"/>
        <v>0.1022096304743277</v>
      </c>
      <c r="Q54" s="228">
        <f t="shared" si="25"/>
        <v>9.7838146023009526E-2</v>
      </c>
      <c r="R54" s="275"/>
      <c r="S54" s="228">
        <f t="shared" ref="S54:W56" si="26">S30*S25*S13</f>
        <v>0.11720000000000001</v>
      </c>
      <c r="T54" s="228">
        <f t="shared" si="26"/>
        <v>0.32581307204097415</v>
      </c>
      <c r="U54" s="228">
        <f t="shared" si="26"/>
        <v>0.24768206246189545</v>
      </c>
      <c r="V54" s="228">
        <f t="shared" si="26"/>
        <v>0.17526396385585341</v>
      </c>
      <c r="W54" s="228">
        <f t="shared" si="26"/>
        <v>0.15937956284830779</v>
      </c>
      <c r="X54" s="275"/>
      <c r="Y54" s="275"/>
      <c r="Z54" s="275"/>
      <c r="AA54" s="275"/>
      <c r="AB54" s="275"/>
      <c r="AC54" s="275"/>
      <c r="AD54" s="275"/>
      <c r="AE54" s="275"/>
      <c r="AF54" s="275"/>
      <c r="AG54" s="275"/>
      <c r="AH54" s="275"/>
      <c r="AI54" s="275"/>
      <c r="AJ54" s="275"/>
      <c r="AK54" s="275"/>
      <c r="AL54" s="275"/>
      <c r="AM54" s="275"/>
      <c r="AN54" s="275"/>
      <c r="AO54" s="275"/>
      <c r="AP54" s="275"/>
    </row>
    <row r="55" spans="1:42">
      <c r="A55" s="227" t="s">
        <v>17</v>
      </c>
      <c r="C55" s="274" t="str">
        <f>C31</f>
        <v>Middle Income</v>
      </c>
      <c r="D55" s="227" t="s">
        <v>68</v>
      </c>
      <c r="E55" s="228">
        <f>E31*E26*E14</f>
        <v>2.816260438546982</v>
      </c>
      <c r="F55" s="228">
        <f t="shared" si="23"/>
        <v>2.816260438546982</v>
      </c>
      <c r="G55" s="228">
        <f t="shared" si="23"/>
        <v>3.1502391637748968</v>
      </c>
      <c r="H55" s="228">
        <f t="shared" si="24"/>
        <v>3.1502391637748968</v>
      </c>
      <c r="I55" s="228">
        <f t="shared" si="24"/>
        <v>3.6456390825233207</v>
      </c>
      <c r="J55" s="228">
        <f t="shared" si="24"/>
        <v>4.1888511746186428</v>
      </c>
      <c r="K55" s="228">
        <f t="shared" si="24"/>
        <v>4.7531877187257638</v>
      </c>
      <c r="L55" s="43"/>
      <c r="M55" s="228">
        <f t="shared" si="25"/>
        <v>2.816260438546982</v>
      </c>
      <c r="N55" s="228">
        <f t="shared" si="25"/>
        <v>3.1502391637748968</v>
      </c>
      <c r="O55" s="228">
        <f t="shared" si="25"/>
        <v>3.6456390825233207</v>
      </c>
      <c r="P55" s="228">
        <f t="shared" si="25"/>
        <v>4.1888511746186428</v>
      </c>
      <c r="Q55" s="228">
        <f t="shared" si="25"/>
        <v>4.7531877187257638</v>
      </c>
      <c r="R55" s="275"/>
      <c r="S55" s="228">
        <f t="shared" si="26"/>
        <v>2.816260438546982</v>
      </c>
      <c r="T55" s="228">
        <f t="shared" si="26"/>
        <v>2.8430908453068438</v>
      </c>
      <c r="U55" s="228">
        <f t="shared" si="26"/>
        <v>2.9693958179595095</v>
      </c>
      <c r="V55" s="228">
        <f t="shared" si="26"/>
        <v>3.0791905294971689</v>
      </c>
      <c r="W55" s="228">
        <f t="shared" si="26"/>
        <v>3.1533618463549198</v>
      </c>
      <c r="X55" s="275"/>
      <c r="Y55" s="275"/>
      <c r="Z55" s="275"/>
      <c r="AA55" s="275"/>
      <c r="AB55" s="275"/>
      <c r="AC55" s="275"/>
      <c r="AD55" s="275"/>
      <c r="AE55" s="275"/>
      <c r="AF55" s="275"/>
      <c r="AG55" s="275"/>
      <c r="AH55" s="275"/>
      <c r="AI55" s="275"/>
      <c r="AJ55" s="275"/>
      <c r="AK55" s="275"/>
      <c r="AL55" s="275"/>
      <c r="AM55" s="275"/>
      <c r="AN55" s="275"/>
      <c r="AO55" s="275"/>
      <c r="AP55" s="275"/>
    </row>
    <row r="56" spans="1:42">
      <c r="A56" s="227" t="s">
        <v>17</v>
      </c>
      <c r="C56" s="274" t="str">
        <f>C32</f>
        <v>High Income</v>
      </c>
      <c r="D56" s="227" t="s">
        <v>68</v>
      </c>
      <c r="E56" s="228">
        <f>E32*E27*E15</f>
        <v>4.0841475475582119</v>
      </c>
      <c r="F56" s="228">
        <f t="shared" si="23"/>
        <v>4.0841475475582119</v>
      </c>
      <c r="G56" s="228">
        <f t="shared" si="23"/>
        <v>5.0333101808829568</v>
      </c>
      <c r="H56" s="228">
        <f t="shared" si="24"/>
        <v>5.0333101808829568</v>
      </c>
      <c r="I56" s="228">
        <f t="shared" si="24"/>
        <v>6.2220931573686062</v>
      </c>
      <c r="J56" s="228">
        <f t="shared" si="24"/>
        <v>7.5497993765879503</v>
      </c>
      <c r="K56" s="228">
        <f t="shared" si="24"/>
        <v>8.9290630040445826</v>
      </c>
      <c r="L56" s="43"/>
      <c r="M56" s="228">
        <f t="shared" si="25"/>
        <v>4.0841475475582119</v>
      </c>
      <c r="N56" s="228">
        <f t="shared" si="25"/>
        <v>5.0333101808829568</v>
      </c>
      <c r="O56" s="228">
        <f t="shared" si="25"/>
        <v>6.2220931573686062</v>
      </c>
      <c r="P56" s="228">
        <f t="shared" si="25"/>
        <v>7.5497993765879503</v>
      </c>
      <c r="Q56" s="228">
        <f t="shared" si="25"/>
        <v>8.9290630040445826</v>
      </c>
      <c r="R56" s="275"/>
      <c r="S56" s="228">
        <f t="shared" si="26"/>
        <v>4.0841475475582119</v>
      </c>
      <c r="T56" s="228">
        <f t="shared" si="26"/>
        <v>4.7111154919148301</v>
      </c>
      <c r="U56" s="228">
        <f t="shared" si="26"/>
        <v>5.5215709229946084</v>
      </c>
      <c r="V56" s="228">
        <f t="shared" si="26"/>
        <v>6.3668104722109442</v>
      </c>
      <c r="W56" s="228">
        <f t="shared" si="26"/>
        <v>7.1311110862693727</v>
      </c>
      <c r="X56" s="275"/>
      <c r="Y56" s="275"/>
      <c r="Z56" s="275"/>
      <c r="AA56" s="275"/>
      <c r="AB56" s="275"/>
      <c r="AC56" s="275"/>
      <c r="AD56" s="275"/>
      <c r="AE56" s="275"/>
      <c r="AF56" s="275"/>
      <c r="AG56" s="275"/>
      <c r="AH56" s="275"/>
      <c r="AI56" s="275"/>
      <c r="AJ56" s="275"/>
      <c r="AK56" s="275"/>
      <c r="AL56" s="275"/>
      <c r="AM56" s="275"/>
      <c r="AN56" s="275"/>
      <c r="AO56" s="275"/>
      <c r="AP56" s="275"/>
    </row>
    <row r="57" spans="1:42">
      <c r="A57" s="227" t="s">
        <v>17</v>
      </c>
      <c r="C57" s="274" t="s">
        <v>166</v>
      </c>
      <c r="D57" s="227" t="s">
        <v>68</v>
      </c>
      <c r="E57" s="228">
        <f>E49</f>
        <v>0.44857633535499813</v>
      </c>
      <c r="F57" s="228">
        <f t="shared" si="23"/>
        <v>0.4643495748988149</v>
      </c>
      <c r="G57" s="228">
        <f t="shared" si="23"/>
        <v>0.47422076907554611</v>
      </c>
      <c r="H57" s="228">
        <f t="shared" si="24"/>
        <v>0.47422076907554611</v>
      </c>
      <c r="I57" s="228">
        <f t="shared" si="24"/>
        <v>0.51747662378236725</v>
      </c>
      <c r="J57" s="228">
        <f t="shared" si="24"/>
        <v>0.56420130268307567</v>
      </c>
      <c r="K57" s="228">
        <f t="shared" si="24"/>
        <v>0.599301409057033</v>
      </c>
      <c r="L57" s="43"/>
      <c r="M57" s="228">
        <f>M49</f>
        <v>0.4643495748988149</v>
      </c>
      <c r="N57" s="228">
        <f>N49</f>
        <v>0.47422076907554611</v>
      </c>
      <c r="O57" s="228">
        <f>O49</f>
        <v>0.51747662378236725</v>
      </c>
      <c r="P57" s="228">
        <f>P49</f>
        <v>0.56420130268307567</v>
      </c>
      <c r="Q57" s="228">
        <f>Q49</f>
        <v>0.599301409057033</v>
      </c>
      <c r="R57" s="275"/>
      <c r="S57" s="228">
        <f>S49</f>
        <v>0.4643495748988149</v>
      </c>
      <c r="T57" s="228">
        <f>T49</f>
        <v>0.47422076907554611</v>
      </c>
      <c r="U57" s="228">
        <f>U49</f>
        <v>0.51747662378236725</v>
      </c>
      <c r="V57" s="228">
        <f>V49</f>
        <v>0.56420130268307567</v>
      </c>
      <c r="W57" s="228">
        <f>W49</f>
        <v>0.599301409057033</v>
      </c>
      <c r="X57" s="275"/>
      <c r="Y57" s="275"/>
      <c r="Z57" s="275"/>
      <c r="AA57" s="275"/>
      <c r="AB57" s="275"/>
      <c r="AC57" s="275"/>
      <c r="AD57" s="275"/>
      <c r="AE57" s="275"/>
      <c r="AF57" s="275"/>
      <c r="AG57" s="275"/>
      <c r="AH57" s="275"/>
      <c r="AI57" s="275"/>
      <c r="AJ57" s="275"/>
      <c r="AK57" s="275"/>
      <c r="AL57" s="275"/>
      <c r="AM57" s="275"/>
      <c r="AN57" s="275"/>
      <c r="AO57" s="275"/>
      <c r="AP57" s="275"/>
    </row>
    <row r="58" spans="1:42">
      <c r="A58" s="227" t="s">
        <v>17</v>
      </c>
      <c r="C58" s="274" t="s">
        <v>65</v>
      </c>
      <c r="D58" s="227" t="s">
        <v>68</v>
      </c>
      <c r="E58" s="228">
        <f>SUM(E54:E57)</f>
        <v>7.466184321460192</v>
      </c>
      <c r="F58" s="228">
        <f t="shared" si="23"/>
        <v>7.481957561004009</v>
      </c>
      <c r="G58" s="228">
        <f t="shared" si="23"/>
        <v>8.7720904898881269</v>
      </c>
      <c r="H58" s="228">
        <f t="shared" si="24"/>
        <v>8.7720904898881269</v>
      </c>
      <c r="I58" s="228">
        <f t="shared" si="24"/>
        <v>10.494984847036907</v>
      </c>
      <c r="J58" s="228">
        <f t="shared" si="24"/>
        <v>12.405061484363996</v>
      </c>
      <c r="K58" s="228">
        <f t="shared" si="24"/>
        <v>14.379390277850389</v>
      </c>
      <c r="L58" s="43"/>
      <c r="M58" s="228">
        <f>SUM(M54:M57)</f>
        <v>7.481957561004009</v>
      </c>
      <c r="N58" s="228">
        <f>SUM(N54:N57)</f>
        <v>8.7720904898881269</v>
      </c>
      <c r="O58" s="228">
        <f>SUM(O54:O57)</f>
        <v>10.494984847036907</v>
      </c>
      <c r="P58" s="228">
        <f>SUM(P54:P57)</f>
        <v>12.405061484363996</v>
      </c>
      <c r="Q58" s="228">
        <f>SUM(Q54:Q57)</f>
        <v>14.379390277850389</v>
      </c>
      <c r="R58" s="275"/>
      <c r="S58" s="228">
        <f>SUM(S54:S57)</f>
        <v>7.481957561004009</v>
      </c>
      <c r="T58" s="228">
        <f>SUM(T54:T57)</f>
        <v>8.354240178338193</v>
      </c>
      <c r="U58" s="228">
        <f>SUM(U54:U57)</f>
        <v>9.2561254271983788</v>
      </c>
      <c r="V58" s="228">
        <f>SUM(V54:V57)</f>
        <v>10.185466268247042</v>
      </c>
      <c r="W58" s="228">
        <f>SUM(W54:W57)</f>
        <v>11.043153904529634</v>
      </c>
      <c r="X58" s="275"/>
      <c r="Y58" s="275"/>
      <c r="Z58" s="275"/>
      <c r="AA58" s="275"/>
      <c r="AB58" s="275"/>
      <c r="AC58" s="275"/>
      <c r="AD58" s="275"/>
      <c r="AE58" s="275"/>
      <c r="AF58" s="275"/>
      <c r="AG58" s="275"/>
      <c r="AH58" s="275"/>
      <c r="AI58" s="275"/>
      <c r="AJ58" s="275"/>
      <c r="AK58" s="275"/>
      <c r="AL58" s="275"/>
      <c r="AM58" s="275"/>
      <c r="AN58" s="275"/>
      <c r="AO58" s="275"/>
      <c r="AP58" s="275"/>
    </row>
    <row r="59" spans="1:42">
      <c r="A59" s="227" t="s">
        <v>17</v>
      </c>
      <c r="C59" s="274" t="s">
        <v>66</v>
      </c>
      <c r="D59" s="227" t="s">
        <v>67</v>
      </c>
      <c r="E59" s="49">
        <f>E16/E58</f>
        <v>7.1030109558462584</v>
      </c>
      <c r="F59" s="49">
        <f t="shared" si="23"/>
        <v>7.2829076556119761</v>
      </c>
      <c r="G59" s="49">
        <f t="shared" si="23"/>
        <v>6.5164434140178376</v>
      </c>
      <c r="H59" s="49">
        <f t="shared" si="24"/>
        <v>6.5164434140178376</v>
      </c>
      <c r="I59" s="49">
        <f t="shared" si="24"/>
        <v>5.9844114532220951</v>
      </c>
      <c r="J59" s="49">
        <f t="shared" si="24"/>
        <v>5.5290230134249496</v>
      </c>
      <c r="K59" s="49">
        <f t="shared" si="24"/>
        <v>5.2294435283414025</v>
      </c>
      <c r="L59" s="43"/>
      <c r="M59" s="49">
        <f>F16/M58</f>
        <v>7.2829076556119761</v>
      </c>
      <c r="N59" s="49">
        <f>H16/N58</f>
        <v>6.5164434140178376</v>
      </c>
      <c r="O59" s="49">
        <f>I16/O58</f>
        <v>5.9844114532220951</v>
      </c>
      <c r="P59" s="49">
        <f>J16/P58</f>
        <v>5.5290230134249496</v>
      </c>
      <c r="Q59" s="49">
        <f>K16/Q58</f>
        <v>5.2294435283414025</v>
      </c>
      <c r="R59" s="275"/>
      <c r="S59" s="49">
        <f>S16/S58</f>
        <v>7.0880366002213533</v>
      </c>
      <c r="T59" s="49">
        <f>T16/T58</f>
        <v>6.8423734630251793</v>
      </c>
      <c r="U59" s="49">
        <f>U16/U58</f>
        <v>6.7853777494683394</v>
      </c>
      <c r="V59" s="49">
        <f>V16/V58</f>
        <v>6.7338959870517767</v>
      </c>
      <c r="W59" s="49">
        <f>W16/W58</f>
        <v>6.8093055733974994</v>
      </c>
      <c r="X59" s="275"/>
      <c r="Y59" s="275"/>
      <c r="Z59" s="275"/>
      <c r="AA59" s="275"/>
      <c r="AB59" s="275"/>
      <c r="AC59" s="275"/>
      <c r="AD59" s="275"/>
      <c r="AE59" s="275"/>
      <c r="AF59" s="275"/>
      <c r="AG59" s="275"/>
      <c r="AH59" s="275"/>
      <c r="AI59" s="275"/>
      <c r="AJ59" s="275"/>
      <c r="AK59" s="275"/>
      <c r="AL59" s="275"/>
      <c r="AM59" s="275"/>
      <c r="AN59" s="275"/>
      <c r="AO59" s="275"/>
      <c r="AP59" s="275"/>
    </row>
    <row r="60" spans="1:42">
      <c r="A60" s="227" t="s">
        <v>17</v>
      </c>
      <c r="C60" s="274" t="s">
        <v>167</v>
      </c>
      <c r="D60" s="227" t="s">
        <v>145</v>
      </c>
      <c r="E60" s="228">
        <f>1000/E59</f>
        <v>140.78536640534566</v>
      </c>
      <c r="F60" s="228">
        <f t="shared" si="23"/>
        <v>137.30779618349712</v>
      </c>
      <c r="G60" s="228">
        <f t="shared" si="23"/>
        <v>153.45794269445378</v>
      </c>
      <c r="H60" s="228">
        <f t="shared" si="24"/>
        <v>153.45794269445378</v>
      </c>
      <c r="I60" s="228">
        <f t="shared" si="24"/>
        <v>167.10080979836127</v>
      </c>
      <c r="J60" s="228">
        <f t="shared" si="24"/>
        <v>180.86377965364096</v>
      </c>
      <c r="K60" s="228">
        <f t="shared" si="24"/>
        <v>191.22493523075966</v>
      </c>
      <c r="M60" s="228">
        <f>1000/M59</f>
        <v>137.30779618349712</v>
      </c>
      <c r="N60" s="228">
        <f>1000/N59</f>
        <v>153.45794269445378</v>
      </c>
      <c r="O60" s="228">
        <f>1000/O59</f>
        <v>167.10080979836127</v>
      </c>
      <c r="P60" s="228">
        <f>1000/P59</f>
        <v>180.86377965364096</v>
      </c>
      <c r="Q60" s="228">
        <f>1000/Q59</f>
        <v>191.22493523075966</v>
      </c>
      <c r="S60" s="228">
        <f>1000/S59</f>
        <v>141.08279293715427</v>
      </c>
      <c r="T60" s="228">
        <f>1000/T59</f>
        <v>146.14811737532312</v>
      </c>
      <c r="U60" s="228">
        <f>1000/U59</f>
        <v>147.37573012473092</v>
      </c>
      <c r="V60" s="228">
        <f>1000/V59</f>
        <v>148.50244225970266</v>
      </c>
      <c r="W60" s="228">
        <f>1000/W59</f>
        <v>146.85785345084028</v>
      </c>
    </row>
    <row r="61" spans="1:42">
      <c r="A61" s="227" t="s">
        <v>17</v>
      </c>
      <c r="C61" s="274" t="s">
        <v>168</v>
      </c>
      <c r="E61" s="278">
        <f>E57/E58</f>
        <v>6.0081068996066286E-2</v>
      </c>
      <c r="F61" s="278">
        <f t="shared" si="23"/>
        <v>6.2062578023565199E-2</v>
      </c>
      <c r="G61" s="278">
        <f t="shared" si="23"/>
        <v>5.4060177516658744E-2</v>
      </c>
      <c r="H61" s="278">
        <f t="shared" si="24"/>
        <v>5.4060177516658744E-2</v>
      </c>
      <c r="I61" s="278">
        <f t="shared" si="24"/>
        <v>4.9307038678428255E-2</v>
      </c>
      <c r="J61" s="278">
        <f t="shared" si="24"/>
        <v>4.5481540207940541E-2</v>
      </c>
      <c r="K61" s="278">
        <f t="shared" si="24"/>
        <v>4.1677803959475263E-2</v>
      </c>
      <c r="M61" s="278">
        <f>M57/M58</f>
        <v>6.2062578023565199E-2</v>
      </c>
      <c r="N61" s="278">
        <f>N57/N58</f>
        <v>5.4060177516658744E-2</v>
      </c>
      <c r="O61" s="278">
        <f>O57/O58</f>
        <v>4.9307038678428255E-2</v>
      </c>
      <c r="P61" s="278">
        <f>P57/P58</f>
        <v>4.5481540207940541E-2</v>
      </c>
      <c r="Q61" s="278">
        <f>Q57/Q58</f>
        <v>4.1677803959475263E-2</v>
      </c>
      <c r="S61" s="278">
        <f>S57/S58</f>
        <v>6.2062578023565199E-2</v>
      </c>
      <c r="T61" s="278">
        <f>T57/T58</f>
        <v>5.6764081346997744E-2</v>
      </c>
      <c r="U61" s="278">
        <f>U57/U58</f>
        <v>5.5906397104538354E-2</v>
      </c>
      <c r="V61" s="278">
        <f>V57/V58</f>
        <v>5.5392781029765942E-2</v>
      </c>
      <c r="W61" s="278">
        <f>W57/W58</f>
        <v>5.4269044354368197E-2</v>
      </c>
    </row>
    <row r="62" spans="1:42">
      <c r="A62" s="227" t="s">
        <v>17</v>
      </c>
      <c r="C62" s="274"/>
      <c r="E62" s="278"/>
      <c r="F62" s="278"/>
      <c r="G62" s="278"/>
      <c r="H62" s="278"/>
      <c r="I62" s="278"/>
      <c r="J62" s="278"/>
      <c r="K62" s="278"/>
    </row>
    <row r="63" spans="1:42" ht="15" thickBot="1">
      <c r="A63" s="227" t="s">
        <v>17</v>
      </c>
      <c r="C63" s="273" t="s">
        <v>81</v>
      </c>
      <c r="E63" s="278"/>
      <c r="F63" s="278"/>
      <c r="G63" s="278"/>
      <c r="H63" s="278"/>
      <c r="I63" s="278"/>
      <c r="J63" s="278"/>
      <c r="K63" s="278"/>
    </row>
    <row r="64" spans="1:42">
      <c r="A64" s="227" t="s">
        <v>17</v>
      </c>
      <c r="C64" s="274" t="s">
        <v>169</v>
      </c>
      <c r="D64" s="227" t="s">
        <v>170</v>
      </c>
      <c r="E64" s="72">
        <f>[3]Calib_1011!$H$96*[3]Calib_1011!$H$97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227" t="s">
        <v>17</v>
      </c>
      <c r="C65" s="274"/>
      <c r="M65" s="8"/>
    </row>
    <row r="66" spans="1:42" ht="15" thickBot="1">
      <c r="A66" s="227" t="s">
        <v>17</v>
      </c>
      <c r="C66" s="273" t="s">
        <v>179</v>
      </c>
      <c r="M66" s="8"/>
    </row>
    <row r="67" spans="1:42">
      <c r="A67" s="227" t="s">
        <v>17</v>
      </c>
      <c r="C67" s="274" t="s">
        <v>180</v>
      </c>
      <c r="D67" s="227" t="s">
        <v>171</v>
      </c>
      <c r="E67" s="242">
        <f>[3]Calib_1011!$H$102</f>
        <v>33.5</v>
      </c>
      <c r="F67" s="81">
        <f t="shared" ref="F67:G70" si="27">E67</f>
        <v>33.5</v>
      </c>
      <c r="G67" s="81">
        <f t="shared" si="27"/>
        <v>33.5</v>
      </c>
      <c r="H67" s="81">
        <f t="shared" ref="H67:K70" si="28">IF($D$4,T67,N67)</f>
        <v>33.5</v>
      </c>
      <c r="I67" s="81">
        <f t="shared" si="28"/>
        <v>33.5</v>
      </c>
      <c r="J67" s="81">
        <f t="shared" si="28"/>
        <v>33.5</v>
      </c>
      <c r="K67" s="81">
        <f t="shared" si="28"/>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227" t="s">
        <v>17</v>
      </c>
      <c r="C68" s="274" t="s">
        <v>64</v>
      </c>
      <c r="D68" s="227" t="s">
        <v>171</v>
      </c>
      <c r="E68" s="64">
        <f>E70*1.5</f>
        <v>32.25</v>
      </c>
      <c r="F68" s="81">
        <f t="shared" si="27"/>
        <v>32.25</v>
      </c>
      <c r="G68" s="81">
        <f t="shared" si="27"/>
        <v>32.25</v>
      </c>
      <c r="H68" s="81">
        <f t="shared" si="28"/>
        <v>32.25</v>
      </c>
      <c r="I68" s="81">
        <f t="shared" si="28"/>
        <v>32.25</v>
      </c>
      <c r="J68" s="81">
        <f t="shared" si="28"/>
        <v>32.25</v>
      </c>
      <c r="K68" s="81">
        <f t="shared" si="28"/>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227" t="s">
        <v>17</v>
      </c>
      <c r="C69" s="274" t="s">
        <v>83</v>
      </c>
      <c r="D69" s="227" t="s">
        <v>171</v>
      </c>
      <c r="E69" s="64">
        <f>E70*2</f>
        <v>43</v>
      </c>
      <c r="F69" s="81">
        <f t="shared" si="27"/>
        <v>43</v>
      </c>
      <c r="G69" s="81">
        <f t="shared" si="27"/>
        <v>43</v>
      </c>
      <c r="H69" s="81">
        <f t="shared" si="28"/>
        <v>43</v>
      </c>
      <c r="I69" s="81">
        <f t="shared" si="28"/>
        <v>43</v>
      </c>
      <c r="J69" s="81">
        <f t="shared" si="28"/>
        <v>43</v>
      </c>
      <c r="K69" s="81">
        <f t="shared" si="28"/>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227" t="s">
        <v>17</v>
      </c>
      <c r="C70" s="274" t="s">
        <v>181</v>
      </c>
      <c r="D70" s="227" t="s">
        <v>171</v>
      </c>
      <c r="E70" s="72">
        <f>[3]Calib_1011!$H$101</f>
        <v>21.5</v>
      </c>
      <c r="F70" s="81">
        <f t="shared" si="27"/>
        <v>21.5</v>
      </c>
      <c r="G70" s="81">
        <f t="shared" si="27"/>
        <v>21.5</v>
      </c>
      <c r="H70" s="81">
        <f t="shared" si="28"/>
        <v>21.5</v>
      </c>
      <c r="I70" s="81">
        <f t="shared" si="28"/>
        <v>21.5</v>
      </c>
      <c r="J70" s="81">
        <f t="shared" si="28"/>
        <v>21.5</v>
      </c>
      <c r="K70" s="81">
        <f t="shared" si="28"/>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227" t="s">
        <v>17</v>
      </c>
      <c r="C71" s="274"/>
    </row>
    <row r="72" spans="1:42" ht="15" thickBot="1">
      <c r="A72" s="227" t="s">
        <v>17</v>
      </c>
      <c r="C72" s="273" t="s">
        <v>178</v>
      </c>
      <c r="E72" s="7"/>
      <c r="F72" s="7"/>
      <c r="G72" s="7"/>
      <c r="H72" s="7"/>
      <c r="I72" s="7"/>
      <c r="J72" s="7"/>
      <c r="K72" s="7"/>
    </row>
    <row r="73" spans="1:42">
      <c r="A73" s="227" t="s">
        <v>17</v>
      </c>
      <c r="C73" s="274" t="s">
        <v>182</v>
      </c>
      <c r="E73" s="276">
        <f>[3]Calib_1011!$H$100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77">
        <f>$F73</f>
        <v>0.55000000000000004</v>
      </c>
      <c r="N73" s="35">
        <f>M73</f>
        <v>0.55000000000000004</v>
      </c>
      <c r="O73" s="35">
        <f>N73</f>
        <v>0.55000000000000004</v>
      </c>
      <c r="P73" s="35">
        <f>O73</f>
        <v>0.55000000000000004</v>
      </c>
      <c r="Q73" s="35">
        <f>P73</f>
        <v>0.55000000000000004</v>
      </c>
      <c r="S73" s="277">
        <f>$F73</f>
        <v>0.55000000000000004</v>
      </c>
      <c r="T73" s="35">
        <f>S73</f>
        <v>0.55000000000000004</v>
      </c>
      <c r="U73" s="35">
        <f>T73</f>
        <v>0.55000000000000004</v>
      </c>
      <c r="V73" s="35">
        <f>U73</f>
        <v>0.55000000000000004</v>
      </c>
      <c r="W73" s="35">
        <f>V73</f>
        <v>0.55000000000000004</v>
      </c>
    </row>
    <row r="74" spans="1:42">
      <c r="A74" s="227" t="s">
        <v>17</v>
      </c>
      <c r="C74" s="75" t="s">
        <v>193</v>
      </c>
      <c r="E74" s="7"/>
      <c r="F74" s="7"/>
      <c r="G74" s="7"/>
      <c r="H74" s="7"/>
      <c r="I74" s="7"/>
      <c r="J74" s="7"/>
      <c r="K74" s="7"/>
      <c r="S74" s="227" t="s">
        <v>204</v>
      </c>
    </row>
    <row r="75" spans="1:42">
      <c r="A75" s="227" t="s">
        <v>17</v>
      </c>
      <c r="C75" s="39" t="str">
        <f>C54</f>
        <v>Low Income</v>
      </c>
      <c r="D75" s="227" t="s">
        <v>192</v>
      </c>
      <c r="E75" s="228">
        <f>E$25*E$13</f>
        <v>0.46880000000000005</v>
      </c>
      <c r="F75" s="228">
        <f t="shared" ref="F75:K75" si="29">F25*F13</f>
        <v>0.4645190942106332</v>
      </c>
      <c r="G75" s="228">
        <f t="shared" si="29"/>
        <v>0.4619608844852251</v>
      </c>
      <c r="H75" s="228">
        <f t="shared" si="29"/>
        <v>0.45728150461891115</v>
      </c>
      <c r="I75" s="228">
        <f t="shared" si="29"/>
        <v>0.43910393345045179</v>
      </c>
      <c r="J75" s="228">
        <f t="shared" si="29"/>
        <v>0.40883852189731079</v>
      </c>
      <c r="K75" s="228">
        <f t="shared" si="29"/>
        <v>0.3913525840920381</v>
      </c>
      <c r="M75" s="228">
        <f>M25*M13</f>
        <v>0.46880000000000005</v>
      </c>
      <c r="N75" s="228">
        <f>N25*N13</f>
        <v>0.45728150461891115</v>
      </c>
      <c r="O75" s="228">
        <f>O25*O13</f>
        <v>0.43910393345045179</v>
      </c>
      <c r="P75" s="228">
        <f>P25*P13</f>
        <v>0.40883852189731079</v>
      </c>
      <c r="Q75" s="228">
        <f>Q25*Q13</f>
        <v>0.3913525840920381</v>
      </c>
      <c r="S75" s="228">
        <f>S25*S13</f>
        <v>0.46880000000000005</v>
      </c>
      <c r="T75" s="228">
        <f>T25*T13</f>
        <v>1.3718445138567332</v>
      </c>
      <c r="U75" s="228">
        <f>U25*U13</f>
        <v>1.0977598336261296</v>
      </c>
      <c r="V75" s="228">
        <f>V25*V13</f>
        <v>0.81767704379462158</v>
      </c>
      <c r="W75" s="228">
        <f>W25*W13</f>
        <v>0.78270516818407621</v>
      </c>
    </row>
    <row r="76" spans="1:42">
      <c r="A76" s="227" t="s">
        <v>17</v>
      </c>
      <c r="C76" s="39"/>
      <c r="E76" s="228"/>
      <c r="F76" s="228"/>
      <c r="G76" s="228"/>
      <c r="H76" s="228"/>
      <c r="I76" s="228"/>
      <c r="J76" s="228"/>
      <c r="K76" s="228"/>
      <c r="M76" s="227">
        <f>M53</f>
        <v>2015</v>
      </c>
      <c r="N76" s="227">
        <f t="shared" ref="N76:W76" si="30">N53</f>
        <v>2020</v>
      </c>
      <c r="O76" s="227">
        <f t="shared" si="30"/>
        <v>2030</v>
      </c>
      <c r="P76" s="227">
        <f t="shared" si="30"/>
        <v>2040</v>
      </c>
      <c r="Q76" s="227">
        <f t="shared" si="30"/>
        <v>2050</v>
      </c>
      <c r="S76" s="227">
        <f t="shared" si="30"/>
        <v>2015</v>
      </c>
      <c r="T76" s="227">
        <f t="shared" si="30"/>
        <v>2020</v>
      </c>
      <c r="U76" s="227">
        <f t="shared" si="30"/>
        <v>2030</v>
      </c>
      <c r="V76" s="227">
        <f t="shared" si="30"/>
        <v>2040</v>
      </c>
      <c r="W76" s="227">
        <f t="shared" si="30"/>
        <v>2050</v>
      </c>
    </row>
    <row r="77" spans="1:42">
      <c r="A77" s="227" t="s">
        <v>17</v>
      </c>
      <c r="C77" s="227" t="s">
        <v>84</v>
      </c>
      <c r="D77" s="227" t="s">
        <v>49</v>
      </c>
      <c r="E77" s="276">
        <f>[3]Calib_1011!$H$92</f>
        <v>2.035E-2</v>
      </c>
      <c r="F77" s="66">
        <f t="shared" ref="F77:K77" si="31">F$41*1000*F$35*F$30/F$67/F$64</f>
        <v>0.25414691943127965</v>
      </c>
      <c r="G77" s="66">
        <f t="shared" si="31"/>
        <v>0.25414691943127965</v>
      </c>
      <c r="H77" s="66">
        <f t="shared" si="31"/>
        <v>0.25414691943127965</v>
      </c>
      <c r="I77" s="66">
        <f t="shared" si="31"/>
        <v>0.25414691943127965</v>
      </c>
      <c r="J77" s="66">
        <f t="shared" si="31"/>
        <v>0.25414691943127965</v>
      </c>
      <c r="K77" s="66">
        <f t="shared" si="31"/>
        <v>0.25414691943127965</v>
      </c>
      <c r="L77" s="289"/>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88"/>
      <c r="S77" s="66">
        <f>S$41*1000*S$35*S$30/S$67/S$64</f>
        <v>0.25414691943127965</v>
      </c>
      <c r="T77" s="66">
        <f>T$41*1000*T$35*T$30/T$67/T$64</f>
        <v>0.23510178465639808</v>
      </c>
      <c r="U77" s="66">
        <f>U$41*1000*U$35*U$30/U$67/U$64</f>
        <v>0.21748384466870921</v>
      </c>
      <c r="V77" s="66">
        <f>V$41*1000*V$35*V$30/V$67/V$64</f>
        <v>0.20118614905884774</v>
      </c>
      <c r="W77" s="66">
        <f>W$41*1000*W$35*W$30/W$67/W$64</f>
        <v>0.18610976201375035</v>
      </c>
      <c r="X77" s="288"/>
      <c r="Y77" s="288"/>
      <c r="Z77" s="288"/>
      <c r="AA77" s="288"/>
      <c r="AB77" s="288"/>
      <c r="AC77" s="288"/>
      <c r="AD77" s="288"/>
      <c r="AE77" s="288"/>
      <c r="AF77" s="288"/>
      <c r="AG77" s="288"/>
      <c r="AH77" s="288"/>
      <c r="AI77" s="288"/>
      <c r="AJ77" s="288"/>
      <c r="AK77" s="288"/>
      <c r="AL77" s="288"/>
      <c r="AM77" s="288"/>
      <c r="AN77" s="288"/>
      <c r="AO77" s="288"/>
      <c r="AP77" s="288"/>
    </row>
    <row r="78" spans="1:42">
      <c r="A78" s="227" t="s">
        <v>17</v>
      </c>
      <c r="C78" s="227" t="s">
        <v>64</v>
      </c>
      <c r="D78" s="227" t="s">
        <v>49</v>
      </c>
      <c r="E78" s="34">
        <v>5.0000000000000001E-3</v>
      </c>
      <c r="F78" s="66">
        <f>E78</f>
        <v>5.0000000000000001E-3</v>
      </c>
      <c r="G78" s="66">
        <f>F78</f>
        <v>5.0000000000000001E-3</v>
      </c>
      <c r="H78" s="66">
        <f t="shared" ref="H78:K79" si="32">IF($D$4,T78,N78)</f>
        <v>0.02</v>
      </c>
      <c r="I78" s="66">
        <f t="shared" si="32"/>
        <v>0.05</v>
      </c>
      <c r="J78" s="66">
        <f t="shared" si="32"/>
        <v>0.1</v>
      </c>
      <c r="K78" s="66">
        <f t="shared" si="32"/>
        <v>0.15</v>
      </c>
      <c r="L78" s="289"/>
      <c r="M78" s="277">
        <f>$F78</f>
        <v>5.0000000000000001E-3</v>
      </c>
      <c r="N78" s="35">
        <v>0.02</v>
      </c>
      <c r="O78" s="35">
        <v>0.05</v>
      </c>
      <c r="P78" s="35">
        <v>0.1</v>
      </c>
      <c r="Q78" s="35">
        <v>0.15</v>
      </c>
      <c r="R78" s="288"/>
      <c r="S78" s="277">
        <f>$F78</f>
        <v>5.0000000000000001E-3</v>
      </c>
      <c r="T78" s="35">
        <v>0.02</v>
      </c>
      <c r="U78" s="77">
        <v>7.0000000000000007E-2</v>
      </c>
      <c r="V78" s="77">
        <v>0.15</v>
      </c>
      <c r="W78" s="77">
        <v>0.25</v>
      </c>
      <c r="X78" s="288"/>
      <c r="Y78" s="288"/>
      <c r="Z78" s="288"/>
      <c r="AA78" s="288"/>
      <c r="AB78" s="288"/>
      <c r="AC78" s="288"/>
      <c r="AD78" s="288"/>
      <c r="AE78" s="288"/>
      <c r="AF78" s="288"/>
      <c r="AG78" s="288"/>
      <c r="AH78" s="288"/>
      <c r="AI78" s="288"/>
      <c r="AJ78" s="288"/>
      <c r="AK78" s="288"/>
      <c r="AL78" s="288"/>
      <c r="AM78" s="288"/>
      <c r="AN78" s="288"/>
      <c r="AO78" s="288"/>
      <c r="AP78" s="288"/>
    </row>
    <row r="79" spans="1:42">
      <c r="A79" s="227" t="s">
        <v>17</v>
      </c>
      <c r="C79" s="227" t="s">
        <v>83</v>
      </c>
      <c r="D79" s="227" t="s">
        <v>49</v>
      </c>
      <c r="E79" s="34">
        <v>0</v>
      </c>
      <c r="F79" s="66">
        <f>E79</f>
        <v>0</v>
      </c>
      <c r="G79" s="66">
        <f>F79</f>
        <v>0</v>
      </c>
      <c r="H79" s="66">
        <f t="shared" si="32"/>
        <v>0</v>
      </c>
      <c r="I79" s="66">
        <f t="shared" si="32"/>
        <v>0</v>
      </c>
      <c r="J79" s="66">
        <f t="shared" si="32"/>
        <v>0</v>
      </c>
      <c r="K79" s="66">
        <f t="shared" si="32"/>
        <v>0</v>
      </c>
      <c r="L79" s="289"/>
      <c r="M79" s="277">
        <f>$F79</f>
        <v>0</v>
      </c>
      <c r="N79" s="35">
        <v>0</v>
      </c>
      <c r="O79" s="35">
        <v>0</v>
      </c>
      <c r="P79" s="35">
        <v>0</v>
      </c>
      <c r="Q79" s="35">
        <v>0</v>
      </c>
      <c r="R79" s="288"/>
      <c r="S79" s="277">
        <f>$F79</f>
        <v>0</v>
      </c>
      <c r="T79" s="35">
        <v>0</v>
      </c>
      <c r="U79" s="35">
        <v>0</v>
      </c>
      <c r="V79" s="35">
        <v>0</v>
      </c>
      <c r="W79" s="35">
        <v>0</v>
      </c>
      <c r="X79" s="288"/>
      <c r="Y79" s="288"/>
      <c r="Z79" s="288"/>
      <c r="AA79" s="288"/>
      <c r="AB79" s="288"/>
      <c r="AC79" s="288"/>
      <c r="AD79" s="288"/>
      <c r="AE79" s="288"/>
      <c r="AF79" s="288"/>
      <c r="AG79" s="288"/>
      <c r="AH79" s="288"/>
      <c r="AI79" s="288"/>
      <c r="AJ79" s="288"/>
      <c r="AK79" s="288"/>
      <c r="AL79" s="288"/>
      <c r="AM79" s="288"/>
      <c r="AN79" s="288"/>
      <c r="AO79" s="288"/>
      <c r="AP79" s="288"/>
    </row>
    <row r="80" spans="1:42">
      <c r="A80" s="227" t="s">
        <v>17</v>
      </c>
      <c r="C80" s="227" t="s">
        <v>82</v>
      </c>
      <c r="D80" s="227" t="s">
        <v>49</v>
      </c>
      <c r="E80" s="34">
        <f t="shared" ref="E80:K80" si="33">1-SUM(E77:E79)</f>
        <v>0.97465000000000002</v>
      </c>
      <c r="F80" s="34">
        <f t="shared" si="33"/>
        <v>0.74085308056872035</v>
      </c>
      <c r="G80" s="34">
        <f t="shared" ref="G80" si="34">1-SUM(G77:G79)</f>
        <v>0.74085308056872035</v>
      </c>
      <c r="H80" s="34">
        <f t="shared" si="33"/>
        <v>0.72585308056872033</v>
      </c>
      <c r="I80" s="34">
        <f t="shared" si="33"/>
        <v>0.69585308056872042</v>
      </c>
      <c r="J80" s="34">
        <f t="shared" si="33"/>
        <v>0.64585308056872037</v>
      </c>
      <c r="K80" s="34">
        <f t="shared" si="33"/>
        <v>0.59585308056872033</v>
      </c>
      <c r="L80" s="289"/>
      <c r="M80" s="34">
        <f>1-SUM(M77:M79)</f>
        <v>0.74085308056872035</v>
      </c>
      <c r="N80" s="34">
        <f>1-SUM(N77:N79)</f>
        <v>0.72585308056872033</v>
      </c>
      <c r="O80" s="34">
        <f>1-SUM(O77:O79)</f>
        <v>0.69585308056872042</v>
      </c>
      <c r="P80" s="34">
        <f>1-SUM(P77:P79)</f>
        <v>0.64585308056872037</v>
      </c>
      <c r="Q80" s="34">
        <f>1-SUM(Q77:Q79)</f>
        <v>0.59585308056872033</v>
      </c>
      <c r="R80" s="288"/>
      <c r="S80" s="34">
        <f>1-SUM(S77:S79)</f>
        <v>0.74085308056872035</v>
      </c>
      <c r="T80" s="34">
        <f>1-SUM(T77:T79)</f>
        <v>0.7448982153436019</v>
      </c>
      <c r="U80" s="34">
        <f>1-SUM(U77:U79)</f>
        <v>0.71251615533129076</v>
      </c>
      <c r="V80" s="34">
        <f>1-SUM(V77:V79)</f>
        <v>0.64881385094115229</v>
      </c>
      <c r="W80" s="34">
        <f>1-SUM(W77:W79)</f>
        <v>0.5638902379862496</v>
      </c>
      <c r="X80" s="288"/>
      <c r="Y80" s="288"/>
      <c r="Z80" s="288"/>
      <c r="AA80" s="288"/>
      <c r="AB80" s="288"/>
      <c r="AC80" s="288"/>
      <c r="AD80" s="288"/>
      <c r="AE80" s="288"/>
      <c r="AF80" s="288"/>
      <c r="AG80" s="288"/>
      <c r="AH80" s="288"/>
      <c r="AI80" s="288"/>
      <c r="AJ80" s="288"/>
      <c r="AK80" s="288"/>
      <c r="AL80" s="288"/>
      <c r="AM80" s="288"/>
      <c r="AN80" s="288"/>
      <c r="AO80" s="288"/>
      <c r="AP80" s="288"/>
    </row>
    <row r="81" spans="1:42">
      <c r="A81" s="227" t="s">
        <v>17</v>
      </c>
      <c r="C81" s="39" t="str">
        <f>C55</f>
        <v>Middle Income</v>
      </c>
      <c r="D81" s="227" t="s">
        <v>192</v>
      </c>
      <c r="E81" s="228">
        <f t="shared" ref="E81:K81" si="35">E$26*E$14</f>
        <v>8.9942931801154025</v>
      </c>
      <c r="F81" s="228">
        <f t="shared" si="35"/>
        <v>9.3845733304899248</v>
      </c>
      <c r="G81" s="228">
        <f t="shared" si="35"/>
        <v>9.6526879156452345</v>
      </c>
      <c r="H81" s="228">
        <f t="shared" si="35"/>
        <v>10.060921297851166</v>
      </c>
      <c r="I81" s="228">
        <f t="shared" si="35"/>
        <v>11.643080408436685</v>
      </c>
      <c r="J81" s="228">
        <f t="shared" si="35"/>
        <v>13.377937294687571</v>
      </c>
      <c r="K81" s="228">
        <f t="shared" si="35"/>
        <v>15.180259359961967</v>
      </c>
      <c r="M81" s="228">
        <f>M$26*M$14</f>
        <v>8.9942931801154025</v>
      </c>
      <c r="N81" s="228">
        <f>N$26*N$14</f>
        <v>10.060921297851166</v>
      </c>
      <c r="O81" s="228">
        <f>O$26*O$14</f>
        <v>11.643080408436685</v>
      </c>
      <c r="P81" s="228">
        <f>P$26*P$14</f>
        <v>13.377937294687571</v>
      </c>
      <c r="Q81" s="228">
        <f>Q$26*Q$14</f>
        <v>15.180259359961967</v>
      </c>
      <c r="S81" s="228">
        <f>S$26*S$14</f>
        <v>8.9942931801154025</v>
      </c>
      <c r="T81" s="228">
        <f>T$26*T$14</f>
        <v>9.5578752329586081</v>
      </c>
      <c r="U81" s="228">
        <f>U$26*U$14</f>
        <v>10.507880068614107</v>
      </c>
      <c r="V81" s="228">
        <f>V$26*V$14</f>
        <v>11.469908988032754</v>
      </c>
      <c r="W81" s="228">
        <f>W$26*W$14</f>
        <v>12.364416125310019</v>
      </c>
    </row>
    <row r="82" spans="1:42">
      <c r="A82" s="227" t="s">
        <v>17</v>
      </c>
      <c r="C82" s="227" t="str">
        <f>C77</f>
        <v>Priv.veh.</v>
      </c>
      <c r="D82" s="227" t="s">
        <v>49</v>
      </c>
      <c r="E82" s="66">
        <f t="shared" ref="E82:M82" si="36">E$42*1000*E$36*E$31/E$67/E$64</f>
        <v>0.53206565737051803</v>
      </c>
      <c r="F82" s="66">
        <f t="shared" si="36"/>
        <v>0.44338804780876495</v>
      </c>
      <c r="G82" s="66">
        <f t="shared" si="36"/>
        <v>0.44338804780876495</v>
      </c>
      <c r="H82" s="66">
        <f t="shared" si="36"/>
        <v>0.44338804780876495</v>
      </c>
      <c r="I82" s="66">
        <f t="shared" si="36"/>
        <v>0.44338804780876495</v>
      </c>
      <c r="J82" s="66">
        <f t="shared" si="36"/>
        <v>0.44338804780876495</v>
      </c>
      <c r="K82" s="66">
        <f t="shared" si="36"/>
        <v>0.44338804780876495</v>
      </c>
      <c r="L82" s="289"/>
      <c r="M82" s="66">
        <f t="shared" si="36"/>
        <v>0.44338804780876495</v>
      </c>
      <c r="N82" s="66">
        <f>N$42*1000*N$36*N$31/N$67/N$64</f>
        <v>0.44338804780876495</v>
      </c>
      <c r="O82" s="66">
        <f>O$42*1000*O$36*O$31/O$67/O$64</f>
        <v>0.44338804780876495</v>
      </c>
      <c r="P82" s="66">
        <f>P$42*1000*P$36*P$31/P$67/P$64</f>
        <v>0.44338804780876495</v>
      </c>
      <c r="Q82" s="66">
        <f>Q$42*1000*Q$36*Q$31/Q$67/Q$64</f>
        <v>0.44338804780876495</v>
      </c>
      <c r="R82" s="288"/>
      <c r="S82" s="66">
        <f>S$42*1000*S$36*S$31/S$67/S$64</f>
        <v>0.44338804780876495</v>
      </c>
      <c r="T82" s="66">
        <f>T$42*1000*T$36*T$31/T$67/T$64</f>
        <v>0.41016165597609561</v>
      </c>
      <c r="U82" s="66">
        <f>U$42*1000*U$36*U$31/U$67/U$64</f>
        <v>0.37942516688138678</v>
      </c>
      <c r="V82" s="66">
        <f>V$42*1000*V$36*V$31/V$67/V$64</f>
        <v>0.3509919934382128</v>
      </c>
      <c r="W82" s="66">
        <f>W$42*1000*W$36*W$31/W$67/W$64</f>
        <v>0.32468953092993674</v>
      </c>
      <c r="X82" s="288"/>
      <c r="Y82" s="288"/>
      <c r="Z82" s="288"/>
      <c r="AA82" s="288"/>
      <c r="AB82" s="288"/>
      <c r="AC82" s="288"/>
      <c r="AD82" s="288"/>
      <c r="AE82" s="288"/>
      <c r="AF82" s="288"/>
      <c r="AG82" s="288"/>
      <c r="AH82" s="288"/>
      <c r="AI82" s="288"/>
      <c r="AJ82" s="288"/>
      <c r="AK82" s="288"/>
      <c r="AL82" s="288"/>
      <c r="AM82" s="288"/>
      <c r="AN82" s="288"/>
      <c r="AO82" s="288"/>
      <c r="AP82" s="288"/>
    </row>
    <row r="83" spans="1:42">
      <c r="A83" s="227" t="s">
        <v>17</v>
      </c>
      <c r="C83" s="227" t="str">
        <f>C78</f>
        <v>BRT</v>
      </c>
      <c r="D83" s="227" t="s">
        <v>49</v>
      </c>
      <c r="E83" s="288">
        <v>0.01</v>
      </c>
      <c r="F83" s="66">
        <f>E83</f>
        <v>0.01</v>
      </c>
      <c r="G83" s="66">
        <f>F83</f>
        <v>0.01</v>
      </c>
      <c r="H83" s="66">
        <f t="shared" ref="H83:K84" si="37">IF($D$4,T83,N83)</f>
        <v>0.02</v>
      </c>
      <c r="I83" s="66">
        <f t="shared" si="37"/>
        <v>0.05</v>
      </c>
      <c r="J83" s="66">
        <f t="shared" si="37"/>
        <v>0.1</v>
      </c>
      <c r="K83" s="66">
        <f t="shared" si="37"/>
        <v>0.15</v>
      </c>
      <c r="L83" s="289"/>
      <c r="M83" s="277">
        <f>$F83</f>
        <v>0.01</v>
      </c>
      <c r="N83" s="35">
        <v>0.02</v>
      </c>
      <c r="O83" s="35">
        <v>0.05</v>
      </c>
      <c r="P83" s="35">
        <v>0.1</v>
      </c>
      <c r="Q83" s="35">
        <v>0.15</v>
      </c>
      <c r="R83" s="288"/>
      <c r="S83" s="277">
        <f>$F83</f>
        <v>0.01</v>
      </c>
      <c r="T83" s="35">
        <v>0.02</v>
      </c>
      <c r="U83" s="77">
        <v>7.0000000000000007E-2</v>
      </c>
      <c r="V83" s="77">
        <v>0.15</v>
      </c>
      <c r="W83" s="77">
        <v>0.25</v>
      </c>
      <c r="X83" s="288"/>
      <c r="Y83" s="288"/>
      <c r="Z83" s="288"/>
      <c r="AA83" s="288"/>
      <c r="AB83" s="288"/>
      <c r="AC83" s="288"/>
      <c r="AD83" s="288"/>
      <c r="AE83" s="288"/>
      <c r="AF83" s="288"/>
      <c r="AG83" s="288"/>
      <c r="AH83" s="288"/>
      <c r="AI83" s="288"/>
      <c r="AJ83" s="288"/>
      <c r="AK83" s="288"/>
      <c r="AL83" s="288"/>
      <c r="AM83" s="288"/>
      <c r="AN83" s="288"/>
      <c r="AO83" s="288"/>
      <c r="AP83" s="288"/>
    </row>
    <row r="84" spans="1:42">
      <c r="A84" s="227" t="s">
        <v>17</v>
      </c>
      <c r="C84" s="227" t="str">
        <f>C79</f>
        <v>Gautrain</v>
      </c>
      <c r="D84" s="227" t="s">
        <v>49</v>
      </c>
      <c r="E84" s="290">
        <v>2E-3</v>
      </c>
      <c r="F84" s="163">
        <f>E84</f>
        <v>2E-3</v>
      </c>
      <c r="G84" s="163">
        <f>F84</f>
        <v>2E-3</v>
      </c>
      <c r="H84" s="163">
        <f t="shared" si="37"/>
        <v>2E-3</v>
      </c>
      <c r="I84" s="163">
        <f t="shared" si="37"/>
        <v>2E-3</v>
      </c>
      <c r="J84" s="163">
        <f t="shared" si="37"/>
        <v>2E-3</v>
      </c>
      <c r="K84" s="163">
        <f t="shared" si="37"/>
        <v>2E-3</v>
      </c>
      <c r="L84" s="289"/>
      <c r="M84" s="277">
        <f>$F84</f>
        <v>2E-3</v>
      </c>
      <c r="N84" s="50">
        <v>2E-3</v>
      </c>
      <c r="O84" s="50">
        <f>N84</f>
        <v>2E-3</v>
      </c>
      <c r="P84" s="50">
        <f>O84</f>
        <v>2E-3</v>
      </c>
      <c r="Q84" s="50">
        <f>P84</f>
        <v>2E-3</v>
      </c>
      <c r="R84" s="288"/>
      <c r="S84" s="277">
        <f>$F84</f>
        <v>2E-3</v>
      </c>
      <c r="T84" s="50">
        <v>2E-3</v>
      </c>
      <c r="U84" s="79">
        <v>0.01</v>
      </c>
      <c r="V84" s="79">
        <v>0.02</v>
      </c>
      <c r="W84" s="79">
        <v>0.03</v>
      </c>
      <c r="X84" s="288"/>
      <c r="Y84" s="288"/>
      <c r="Z84" s="288"/>
      <c r="AA84" s="288"/>
      <c r="AB84" s="288"/>
      <c r="AC84" s="288"/>
      <c r="AD84" s="288"/>
      <c r="AE84" s="288"/>
      <c r="AF84" s="288"/>
      <c r="AG84" s="288"/>
      <c r="AH84" s="288"/>
      <c r="AI84" s="288"/>
      <c r="AJ84" s="288"/>
      <c r="AK84" s="288"/>
      <c r="AL84" s="288"/>
      <c r="AM84" s="288"/>
      <c r="AN84" s="288"/>
      <c r="AO84" s="288"/>
      <c r="AP84" s="288"/>
    </row>
    <row r="85" spans="1:42">
      <c r="A85" s="227" t="s">
        <v>17</v>
      </c>
      <c r="C85" s="227" t="str">
        <f>C80</f>
        <v>Bus, minibus, metro rail</v>
      </c>
      <c r="D85" s="227" t="s">
        <v>49</v>
      </c>
      <c r="E85" s="34">
        <f t="shared" ref="E85:K85" si="38">1-SUM(E82:E84)</f>
        <v>0.45593434262948196</v>
      </c>
      <c r="F85" s="34">
        <f t="shared" si="38"/>
        <v>0.54461195219123504</v>
      </c>
      <c r="G85" s="34">
        <f t="shared" ref="G85" si="39">1-SUM(G82:G84)</f>
        <v>0.54461195219123504</v>
      </c>
      <c r="H85" s="34">
        <f t="shared" si="38"/>
        <v>0.53461195219123503</v>
      </c>
      <c r="I85" s="34">
        <f t="shared" si="38"/>
        <v>0.50461195219123511</v>
      </c>
      <c r="J85" s="34">
        <f t="shared" si="38"/>
        <v>0.45461195219123507</v>
      </c>
      <c r="K85" s="34">
        <f t="shared" si="38"/>
        <v>0.40461195219123502</v>
      </c>
      <c r="L85" s="289"/>
      <c r="M85" s="34">
        <f>1-SUM(M82:M84)</f>
        <v>0.54461195219123504</v>
      </c>
      <c r="N85" s="34">
        <f>1-SUM(N82:N84)</f>
        <v>0.53461195219123503</v>
      </c>
      <c r="O85" s="34">
        <f>1-SUM(O82:O84)</f>
        <v>0.50461195219123511</v>
      </c>
      <c r="P85" s="34">
        <f>1-SUM(P82:P84)</f>
        <v>0.45461195219123507</v>
      </c>
      <c r="Q85" s="34">
        <f>1-SUM(Q82:Q84)</f>
        <v>0.40461195219123502</v>
      </c>
      <c r="R85" s="288"/>
      <c r="S85" s="34">
        <f>1-SUM(S82:S84)</f>
        <v>0.54461195219123504</v>
      </c>
      <c r="T85" s="34">
        <f>1-SUM(T82:T84)</f>
        <v>0.56783834402390432</v>
      </c>
      <c r="U85" s="34">
        <f>1-SUM(U82:U84)</f>
        <v>0.54057483311861321</v>
      </c>
      <c r="V85" s="34">
        <f>1-SUM(V82:V84)</f>
        <v>0.47900800656178721</v>
      </c>
      <c r="W85" s="34">
        <f>1-SUM(W82:W84)</f>
        <v>0.39531046907006329</v>
      </c>
      <c r="X85" s="288"/>
      <c r="Y85" s="288"/>
      <c r="Z85" s="288"/>
      <c r="AA85" s="288"/>
      <c r="AB85" s="288"/>
      <c r="AC85" s="288"/>
      <c r="AD85" s="288"/>
      <c r="AE85" s="288"/>
      <c r="AF85" s="288"/>
      <c r="AG85" s="288"/>
      <c r="AH85" s="288"/>
      <c r="AI85" s="288"/>
      <c r="AJ85" s="288"/>
      <c r="AK85" s="288"/>
      <c r="AL85" s="288"/>
      <c r="AM85" s="288"/>
      <c r="AN85" s="288"/>
      <c r="AO85" s="288"/>
      <c r="AP85" s="288"/>
    </row>
    <row r="86" spans="1:42">
      <c r="A86" s="227" t="s">
        <v>17</v>
      </c>
      <c r="C86" s="39" t="str">
        <f>C56</f>
        <v>High Income</v>
      </c>
      <c r="D86" s="227" t="s">
        <v>192</v>
      </c>
      <c r="E86" s="228">
        <f t="shared" ref="E86:M86" si="40">E$27*E$15</f>
        <v>9.892938155258113</v>
      </c>
      <c r="F86" s="228">
        <f t="shared" si="40"/>
        <v>10.626312582096922</v>
      </c>
      <c r="G86" s="228">
        <f t="shared" si="40"/>
        <v>11.167910335736503</v>
      </c>
      <c r="H86" s="228">
        <f t="shared" si="40"/>
        <v>12.004342842615142</v>
      </c>
      <c r="I86" s="228">
        <f t="shared" si="40"/>
        <v>14.800216312139925</v>
      </c>
      <c r="J86" s="228">
        <f t="shared" si="40"/>
        <v>17.952217383226774</v>
      </c>
      <c r="K86" s="228">
        <f t="shared" si="40"/>
        <v>21.151644906959284</v>
      </c>
      <c r="M86" s="228">
        <f t="shared" si="40"/>
        <v>9.892938155258113</v>
      </c>
      <c r="N86" s="228">
        <f>N$27*N$15</f>
        <v>12.004342842615142</v>
      </c>
      <c r="O86" s="228">
        <f>O$27*O$15</f>
        <v>14.800216312139925</v>
      </c>
      <c r="P86" s="228">
        <f>P$27*P$15</f>
        <v>17.952217383226774</v>
      </c>
      <c r="Q86" s="228">
        <f>Q$27*Q$15</f>
        <v>21.151644906959284</v>
      </c>
      <c r="S86" s="228">
        <f>S$27*S$15</f>
        <v>9.892938155258113</v>
      </c>
      <c r="T86" s="228">
        <f>T$27*T$15</f>
        <v>11.704234271549764</v>
      </c>
      <c r="U86" s="228">
        <f>U$27*U$15</f>
        <v>14.069455631728017</v>
      </c>
      <c r="V86" s="228">
        <f>V$27*V$15</f>
        <v>16.639180983681701</v>
      </c>
      <c r="W86" s="228">
        <f>W$27*W$15</f>
        <v>19.114485369219057</v>
      </c>
    </row>
    <row r="87" spans="1:42">
      <c r="A87" s="227" t="s">
        <v>17</v>
      </c>
      <c r="C87" s="227" t="str">
        <f>C82</f>
        <v>Priv.veh.</v>
      </c>
      <c r="D87" s="227" t="s">
        <v>49</v>
      </c>
      <c r="E87" s="66">
        <f t="shared" ref="E87:M87" si="41">E$43*1000*E$37*E$32/E$67/E$64</f>
        <v>0.81893071119533589</v>
      </c>
      <c r="F87" s="66">
        <f t="shared" si="41"/>
        <v>0.68244225932944669</v>
      </c>
      <c r="G87" s="66">
        <f t="shared" si="41"/>
        <v>0.69311466434999935</v>
      </c>
      <c r="H87" s="66">
        <f t="shared" si="41"/>
        <v>0.69311466434999935</v>
      </c>
      <c r="I87" s="66">
        <f t="shared" si="41"/>
        <v>0.69495747256963458</v>
      </c>
      <c r="J87" s="66">
        <f t="shared" si="41"/>
        <v>0.695195729254247</v>
      </c>
      <c r="K87" s="66">
        <f t="shared" si="41"/>
        <v>0.69783303247110451</v>
      </c>
      <c r="L87" s="289"/>
      <c r="M87" s="66">
        <f t="shared" si="41"/>
        <v>0.68244225932944669</v>
      </c>
      <c r="N87" s="66">
        <f>N$43*1000*N$37*N$32/N$67/N$64</f>
        <v>0.69311466434999935</v>
      </c>
      <c r="O87" s="66">
        <f>O$43*1000*O$37*O$32/O$67/O$64</f>
        <v>0.69495747256963458</v>
      </c>
      <c r="P87" s="66">
        <f>P$43*1000*P$37*P$32/P$67/P$64</f>
        <v>0.695195729254247</v>
      </c>
      <c r="Q87" s="66">
        <f>Q$43*1000*Q$37*Q$32/Q$67/Q$64</f>
        <v>0.69783303247110451</v>
      </c>
      <c r="R87" s="288"/>
      <c r="S87" s="66">
        <f>S$43*1000*S$37*S$32/S$67/S$64</f>
        <v>0.68244225932944669</v>
      </c>
      <c r="T87" s="66">
        <f>T$43*1000*T$37*T$32/T$67/T$64</f>
        <v>0.64791494627149726</v>
      </c>
      <c r="U87" s="66">
        <f>U$43*1000*U$37*U$32/U$67/U$64</f>
        <v>0.61513449945857379</v>
      </c>
      <c r="V87" s="66">
        <f>V$43*1000*V$37*V$32/V$67/V$64</f>
        <v>0.58401253837659128</v>
      </c>
      <c r="W87" s="66">
        <f>W$43*1000*W$37*W$32/W$67/W$64</f>
        <v>0.5544651540131007</v>
      </c>
      <c r="X87" s="288"/>
      <c r="Y87" s="288"/>
      <c r="Z87" s="288"/>
      <c r="AA87" s="288"/>
      <c r="AB87" s="288"/>
      <c r="AC87" s="288"/>
      <c r="AD87" s="288"/>
      <c r="AE87" s="288"/>
      <c r="AF87" s="288"/>
      <c r="AG87" s="288"/>
      <c r="AH87" s="288"/>
      <c r="AI87" s="288"/>
      <c r="AJ87" s="288"/>
      <c r="AK87" s="288"/>
      <c r="AL87" s="288"/>
      <c r="AM87" s="288"/>
      <c r="AN87" s="288"/>
      <c r="AO87" s="288"/>
      <c r="AP87" s="288"/>
    </row>
    <row r="88" spans="1:42">
      <c r="A88" s="227" t="s">
        <v>17</v>
      </c>
      <c r="C88" s="227" t="str">
        <f>C83</f>
        <v>BRT</v>
      </c>
      <c r="D88" s="227" t="s">
        <v>49</v>
      </c>
      <c r="E88" s="288">
        <v>0</v>
      </c>
      <c r="F88" s="66">
        <f>E88</f>
        <v>0</v>
      </c>
      <c r="G88" s="66">
        <f>F88</f>
        <v>0</v>
      </c>
      <c r="H88" s="66">
        <f t="shared" ref="H88:K89" si="42">IF($D$4,T88,N88)</f>
        <v>0.02</v>
      </c>
      <c r="I88" s="66">
        <f t="shared" si="42"/>
        <v>0.03</v>
      </c>
      <c r="J88" s="66">
        <f t="shared" si="42"/>
        <v>3.5000000000000003E-2</v>
      </c>
      <c r="K88" s="66">
        <f t="shared" si="42"/>
        <v>0.04</v>
      </c>
      <c r="L88" s="289"/>
      <c r="M88" s="277">
        <f>$F88</f>
        <v>0</v>
      </c>
      <c r="N88" s="35">
        <v>0.02</v>
      </c>
      <c r="O88" s="35">
        <v>0.03</v>
      </c>
      <c r="P88" s="35">
        <v>3.5000000000000003E-2</v>
      </c>
      <c r="Q88" s="35">
        <v>0.04</v>
      </c>
      <c r="R88" s="288"/>
      <c r="S88" s="277">
        <f>$F88</f>
        <v>0</v>
      </c>
      <c r="T88" s="35">
        <v>0.02</v>
      </c>
      <c r="U88" s="77">
        <v>0.03</v>
      </c>
      <c r="V88" s="77">
        <v>0.05</v>
      </c>
      <c r="W88" s="77">
        <v>0.1</v>
      </c>
      <c r="X88" s="288"/>
      <c r="Y88" s="288"/>
      <c r="Z88" s="288"/>
      <c r="AA88" s="288"/>
      <c r="AB88" s="288"/>
      <c r="AC88" s="288"/>
      <c r="AD88" s="288"/>
      <c r="AE88" s="288"/>
      <c r="AF88" s="288"/>
      <c r="AG88" s="288"/>
      <c r="AH88" s="288"/>
      <c r="AI88" s="288"/>
      <c r="AJ88" s="288"/>
      <c r="AK88" s="288"/>
      <c r="AL88" s="288"/>
      <c r="AM88" s="288"/>
      <c r="AN88" s="288"/>
      <c r="AO88" s="288"/>
      <c r="AP88" s="288"/>
    </row>
    <row r="89" spans="1:42">
      <c r="A89" s="227" t="s">
        <v>17</v>
      </c>
      <c r="C89" s="227" t="str">
        <f>C84</f>
        <v>Gautrain</v>
      </c>
      <c r="D89" s="227" t="s">
        <v>49</v>
      </c>
      <c r="E89" s="288">
        <v>5.0000000000000001E-3</v>
      </c>
      <c r="F89" s="66">
        <f>E89</f>
        <v>5.0000000000000001E-3</v>
      </c>
      <c r="G89" s="66">
        <f>F89</f>
        <v>5.0000000000000001E-3</v>
      </c>
      <c r="H89" s="66">
        <f t="shared" si="42"/>
        <v>5.0000000000000001E-3</v>
      </c>
      <c r="I89" s="66">
        <f t="shared" si="42"/>
        <v>5.0000000000000001E-3</v>
      </c>
      <c r="J89" s="66">
        <f t="shared" si="42"/>
        <v>5.0000000000000001E-3</v>
      </c>
      <c r="K89" s="66">
        <f t="shared" si="42"/>
        <v>5.0000000000000001E-3</v>
      </c>
      <c r="L89" s="289"/>
      <c r="M89" s="277">
        <f>$F89</f>
        <v>5.0000000000000001E-3</v>
      </c>
      <c r="N89" s="50">
        <v>5.0000000000000001E-3</v>
      </c>
      <c r="O89" s="50">
        <f>N89</f>
        <v>5.0000000000000001E-3</v>
      </c>
      <c r="P89" s="50">
        <f>O89</f>
        <v>5.0000000000000001E-3</v>
      </c>
      <c r="Q89" s="50">
        <f>P89</f>
        <v>5.0000000000000001E-3</v>
      </c>
      <c r="R89" s="288"/>
      <c r="S89" s="277">
        <f>$F89</f>
        <v>5.0000000000000001E-3</v>
      </c>
      <c r="T89" s="50">
        <v>5.0000000000000001E-3</v>
      </c>
      <c r="U89" s="79">
        <v>0.01</v>
      </c>
      <c r="V89" s="79">
        <v>0.03</v>
      </c>
      <c r="W89" s="79">
        <v>0.05</v>
      </c>
      <c r="X89" s="288"/>
      <c r="Y89" s="288"/>
      <c r="Z89" s="288"/>
      <c r="AA89" s="288"/>
      <c r="AB89" s="288"/>
      <c r="AC89" s="288"/>
      <c r="AD89" s="288"/>
      <c r="AE89" s="288"/>
      <c r="AF89" s="288"/>
      <c r="AG89" s="288"/>
      <c r="AH89" s="288"/>
      <c r="AI89" s="288"/>
      <c r="AJ89" s="288"/>
      <c r="AK89" s="288"/>
      <c r="AL89" s="288"/>
      <c r="AM89" s="288"/>
      <c r="AN89" s="288"/>
      <c r="AO89" s="288"/>
      <c r="AP89" s="288"/>
    </row>
    <row r="90" spans="1:42">
      <c r="A90" s="227" t="s">
        <v>17</v>
      </c>
      <c r="C90" s="227" t="str">
        <f>C85</f>
        <v>Bus, minibus, metro rail</v>
      </c>
      <c r="D90" s="227" t="s">
        <v>49</v>
      </c>
      <c r="E90" s="34">
        <f t="shared" ref="E90:K90" si="43">1-SUM(E87:E89)</f>
        <v>0.1760692888046641</v>
      </c>
      <c r="F90" s="34">
        <f t="shared" si="43"/>
        <v>0.31255774067055331</v>
      </c>
      <c r="G90" s="34">
        <f t="shared" ref="G90" si="44">1-SUM(G87:G89)</f>
        <v>0.30188533565000064</v>
      </c>
      <c r="H90" s="34">
        <f t="shared" si="43"/>
        <v>0.28188533565000062</v>
      </c>
      <c r="I90" s="34">
        <f t="shared" si="43"/>
        <v>0.27004252743036539</v>
      </c>
      <c r="J90" s="34">
        <f t="shared" si="43"/>
        <v>0.26480427074575297</v>
      </c>
      <c r="K90" s="34">
        <f t="shared" si="43"/>
        <v>0.25716696752889545</v>
      </c>
      <c r="L90" s="289"/>
      <c r="M90" s="277">
        <f>$F90</f>
        <v>0.31255774067055331</v>
      </c>
      <c r="N90" s="34">
        <f>1-SUM(N87:N89)</f>
        <v>0.28188533565000062</v>
      </c>
      <c r="O90" s="34">
        <f>1-SUM(O87:O89)</f>
        <v>0.27004252743036539</v>
      </c>
      <c r="P90" s="34">
        <f>1-SUM(P87:P89)</f>
        <v>0.26480427074575297</v>
      </c>
      <c r="Q90" s="34">
        <f>1-SUM(Q87:Q89)</f>
        <v>0.25716696752889545</v>
      </c>
      <c r="R90" s="288"/>
      <c r="S90" s="277">
        <f>$F90</f>
        <v>0.31255774067055331</v>
      </c>
      <c r="T90" s="34">
        <f>1-SUM(T87:T89)</f>
        <v>0.32708505372850272</v>
      </c>
      <c r="U90" s="34">
        <f>1-SUM(U87:U89)</f>
        <v>0.34486550054142617</v>
      </c>
      <c r="V90" s="34">
        <f>1-SUM(V87:V89)</f>
        <v>0.33598746162340865</v>
      </c>
      <c r="W90" s="34">
        <f>1-SUM(W87:W89)</f>
        <v>0.29553484598689927</v>
      </c>
      <c r="X90" s="288"/>
      <c r="Y90" s="288"/>
      <c r="Z90" s="288"/>
      <c r="AA90" s="288"/>
      <c r="AB90" s="288"/>
      <c r="AC90" s="288"/>
      <c r="AD90" s="288"/>
      <c r="AE90" s="288"/>
      <c r="AF90" s="288"/>
      <c r="AG90" s="288"/>
      <c r="AH90" s="288"/>
      <c r="AI90" s="288"/>
      <c r="AJ90" s="288"/>
      <c r="AK90" s="288"/>
      <c r="AL90" s="288"/>
      <c r="AM90" s="288"/>
      <c r="AN90" s="288"/>
      <c r="AO90" s="288"/>
      <c r="AP90" s="288"/>
    </row>
    <row r="91" spans="1:42">
      <c r="A91" s="227" t="s">
        <v>17</v>
      </c>
      <c r="C91" s="274"/>
      <c r="E91" s="278"/>
      <c r="F91" s="278"/>
      <c r="G91" s="278"/>
      <c r="H91" s="278"/>
      <c r="I91" s="278"/>
      <c r="J91" s="278"/>
      <c r="K91" s="278"/>
      <c r="N91" s="278"/>
      <c r="O91" s="278"/>
      <c r="P91" s="278"/>
      <c r="Q91" s="278"/>
      <c r="T91" s="278"/>
      <c r="U91" s="278"/>
      <c r="V91" s="278"/>
      <c r="W91" s="278"/>
    </row>
    <row r="92" spans="1:42">
      <c r="A92" s="227" t="s">
        <v>17</v>
      </c>
      <c r="C92" s="75" t="s">
        <v>194</v>
      </c>
      <c r="E92" s="7"/>
      <c r="F92" s="7"/>
      <c r="G92" s="7"/>
      <c r="H92" s="7"/>
      <c r="I92" s="7"/>
      <c r="J92" s="7"/>
      <c r="K92" s="7"/>
      <c r="N92" s="7"/>
      <c r="O92" s="7"/>
      <c r="P92" s="7"/>
      <c r="Q92" s="7"/>
      <c r="T92" s="7"/>
      <c r="U92" s="7"/>
      <c r="V92" s="7"/>
      <c r="W92" s="7"/>
    </row>
    <row r="93" spans="1:42">
      <c r="A93" s="227" t="s">
        <v>17</v>
      </c>
      <c r="C93" s="39" t="str">
        <f>C75</f>
        <v>Low Income</v>
      </c>
      <c r="D93" s="227" t="s">
        <v>192</v>
      </c>
      <c r="E93" s="228">
        <f t="shared" ref="E93:M93" si="45">(1-E$25)*E$13</f>
        <v>22.9712</v>
      </c>
      <c r="F93" s="228">
        <f t="shared" si="45"/>
        <v>22.761435616321027</v>
      </c>
      <c r="G93" s="228">
        <f t="shared" si="45"/>
        <v>22.636083339776029</v>
      </c>
      <c r="H93" s="228">
        <f t="shared" si="45"/>
        <v>22.406793726326644</v>
      </c>
      <c r="I93" s="228">
        <f t="shared" si="45"/>
        <v>21.516092739072139</v>
      </c>
      <c r="J93" s="228">
        <f t="shared" si="45"/>
        <v>20.033087572968228</v>
      </c>
      <c r="K93" s="228">
        <f t="shared" si="45"/>
        <v>19.176276620509864</v>
      </c>
      <c r="M93" s="228">
        <f t="shared" si="45"/>
        <v>22.9712</v>
      </c>
      <c r="N93" s="228">
        <f>(1-N$25)*N$13</f>
        <v>22.406793726326644</v>
      </c>
      <c r="O93" s="228">
        <f>(1-O$25)*O$13</f>
        <v>21.516092739072139</v>
      </c>
      <c r="P93" s="228">
        <f>(1-P$25)*P$13</f>
        <v>20.033087572968228</v>
      </c>
      <c r="Q93" s="228">
        <f>(1-Q$25)*Q$13</f>
        <v>19.176276620509864</v>
      </c>
      <c r="S93" s="228">
        <f>(1-S$25)*S$13</f>
        <v>22.9712</v>
      </c>
      <c r="T93" s="228">
        <f>(1-T$25)*T$13</f>
        <v>21.49223071708882</v>
      </c>
      <c r="U93" s="228">
        <f>(1-U$25)*U$13</f>
        <v>20.857436838896458</v>
      </c>
      <c r="V93" s="228">
        <f>(1-V$25)*V$13</f>
        <v>19.624249051070919</v>
      </c>
      <c r="W93" s="228">
        <f>(1-W$25)*W$13</f>
        <v>18.784924036417827</v>
      </c>
    </row>
    <row r="94" spans="1:42">
      <c r="A94" s="227" t="s">
        <v>17</v>
      </c>
      <c r="C94" s="227" t="s">
        <v>64</v>
      </c>
      <c r="D94" s="227" t="s">
        <v>49</v>
      </c>
      <c r="E94" s="34">
        <v>0</v>
      </c>
      <c r="F94" s="66">
        <f>E94</f>
        <v>0</v>
      </c>
      <c r="G94" s="66">
        <f>F94</f>
        <v>0</v>
      </c>
      <c r="H94" s="66">
        <f t="shared" ref="H94:K95" si="46">IF($D$4,T94,N94)</f>
        <v>0.02</v>
      </c>
      <c r="I94" s="66">
        <f t="shared" si="46"/>
        <v>0.05</v>
      </c>
      <c r="J94" s="66">
        <f t="shared" si="46"/>
        <v>0.1</v>
      </c>
      <c r="K94" s="66">
        <f t="shared" si="46"/>
        <v>0.15</v>
      </c>
      <c r="L94" s="289"/>
      <c r="M94" s="277">
        <f>$F94</f>
        <v>0</v>
      </c>
      <c r="N94" s="35">
        <v>0.02</v>
      </c>
      <c r="O94" s="35">
        <v>0.05</v>
      </c>
      <c r="P94" s="35">
        <v>0.1</v>
      </c>
      <c r="Q94" s="35">
        <v>0.15</v>
      </c>
      <c r="R94" s="288"/>
      <c r="S94" s="277">
        <f>$F94</f>
        <v>0</v>
      </c>
      <c r="T94" s="35">
        <v>0.02</v>
      </c>
      <c r="U94" s="77">
        <f>U78</f>
        <v>7.0000000000000007E-2</v>
      </c>
      <c r="V94" s="77">
        <v>0.2</v>
      </c>
      <c r="W94" s="77">
        <v>0.4</v>
      </c>
      <c r="X94" s="288"/>
      <c r="Y94" s="288"/>
      <c r="Z94" s="288"/>
      <c r="AA94" s="288"/>
      <c r="AB94" s="288"/>
      <c r="AC94" s="288"/>
      <c r="AD94" s="288"/>
      <c r="AE94" s="288"/>
      <c r="AF94" s="288"/>
      <c r="AG94" s="288"/>
      <c r="AH94" s="288"/>
      <c r="AI94" s="288"/>
      <c r="AJ94" s="288"/>
      <c r="AK94" s="288"/>
      <c r="AL94" s="288"/>
      <c r="AM94" s="288"/>
      <c r="AN94" s="288"/>
      <c r="AO94" s="288"/>
      <c r="AP94" s="288"/>
    </row>
    <row r="95" spans="1:42">
      <c r="A95" s="227" t="s">
        <v>17</v>
      </c>
      <c r="C95" s="227" t="s">
        <v>83</v>
      </c>
      <c r="D95" s="227" t="s">
        <v>49</v>
      </c>
      <c r="E95" s="34">
        <v>0</v>
      </c>
      <c r="F95" s="66">
        <f>E95</f>
        <v>0</v>
      </c>
      <c r="G95" s="66">
        <f>F95</f>
        <v>0</v>
      </c>
      <c r="H95" s="66">
        <f t="shared" si="46"/>
        <v>0</v>
      </c>
      <c r="I95" s="66">
        <f t="shared" si="46"/>
        <v>0</v>
      </c>
      <c r="J95" s="66">
        <f t="shared" si="46"/>
        <v>0</v>
      </c>
      <c r="K95" s="66">
        <f t="shared" si="46"/>
        <v>0</v>
      </c>
      <c r="L95" s="289"/>
      <c r="M95" s="277">
        <f>$F95</f>
        <v>0</v>
      </c>
      <c r="N95" s="35">
        <v>0</v>
      </c>
      <c r="O95" s="35">
        <v>0</v>
      </c>
      <c r="P95" s="35">
        <v>0</v>
      </c>
      <c r="Q95" s="35">
        <v>0</v>
      </c>
      <c r="R95" s="288"/>
      <c r="S95" s="277">
        <f>$F95</f>
        <v>0</v>
      </c>
      <c r="T95" s="35">
        <v>0</v>
      </c>
      <c r="U95" s="35">
        <v>0</v>
      </c>
      <c r="V95" s="35">
        <v>0</v>
      </c>
      <c r="W95" s="35">
        <v>0</v>
      </c>
      <c r="X95" s="288"/>
      <c r="Y95" s="288"/>
      <c r="Z95" s="288"/>
      <c r="AA95" s="288"/>
      <c r="AB95" s="288"/>
      <c r="AC95" s="288"/>
      <c r="AD95" s="288"/>
      <c r="AE95" s="288"/>
      <c r="AF95" s="288"/>
      <c r="AG95" s="288"/>
      <c r="AH95" s="288"/>
      <c r="AI95" s="288"/>
      <c r="AJ95" s="288"/>
      <c r="AK95" s="288"/>
      <c r="AL95" s="288"/>
      <c r="AM95" s="288"/>
      <c r="AN95" s="288"/>
      <c r="AO95" s="288"/>
      <c r="AP95" s="288"/>
    </row>
    <row r="96" spans="1:42">
      <c r="A96" s="227" t="s">
        <v>17</v>
      </c>
      <c r="C96" s="227" t="s">
        <v>82</v>
      </c>
      <c r="D96" s="227" t="s">
        <v>49</v>
      </c>
      <c r="E96" s="34">
        <f t="shared" ref="E96:K96" si="47">1-SUM(E94:E95)</f>
        <v>1</v>
      </c>
      <c r="F96" s="34">
        <f t="shared" si="47"/>
        <v>1</v>
      </c>
      <c r="G96" s="34">
        <f t="shared" ref="G96" si="48">1-SUM(G94:G95)</f>
        <v>1</v>
      </c>
      <c r="H96" s="34">
        <f t="shared" si="47"/>
        <v>0.98</v>
      </c>
      <c r="I96" s="34">
        <f t="shared" si="47"/>
        <v>0.95</v>
      </c>
      <c r="J96" s="34">
        <f t="shared" si="47"/>
        <v>0.9</v>
      </c>
      <c r="K96" s="34">
        <f t="shared" si="47"/>
        <v>0.85</v>
      </c>
      <c r="L96" s="289"/>
      <c r="M96" s="34">
        <f>1-SUM(M94:M95)</f>
        <v>1</v>
      </c>
      <c r="N96" s="34">
        <f>1-SUM(N94:N95)</f>
        <v>0.98</v>
      </c>
      <c r="O96" s="34">
        <f>1-SUM(O94:O95)</f>
        <v>0.95</v>
      </c>
      <c r="P96" s="34">
        <f>1-SUM(P94:P95)</f>
        <v>0.9</v>
      </c>
      <c r="Q96" s="34">
        <f>1-SUM(Q94:Q95)</f>
        <v>0.85</v>
      </c>
      <c r="R96" s="288"/>
      <c r="S96" s="34">
        <f>1-SUM(S94:S95)</f>
        <v>1</v>
      </c>
      <c r="T96" s="34">
        <f>1-SUM(T94:T95)</f>
        <v>0.98</v>
      </c>
      <c r="U96" s="34">
        <f>1-SUM(U94:U95)</f>
        <v>0.92999999999999994</v>
      </c>
      <c r="V96" s="34">
        <f>1-SUM(V94:V95)</f>
        <v>0.8</v>
      </c>
      <c r="W96" s="34">
        <f>1-SUM(W94:W95)</f>
        <v>0.6</v>
      </c>
      <c r="X96" s="288"/>
      <c r="Y96" s="288"/>
      <c r="Z96" s="288"/>
      <c r="AA96" s="288"/>
      <c r="AB96" s="288"/>
      <c r="AC96" s="288"/>
      <c r="AD96" s="288"/>
      <c r="AE96" s="288"/>
      <c r="AF96" s="288"/>
      <c r="AG96" s="288"/>
      <c r="AH96" s="288"/>
      <c r="AI96" s="288"/>
      <c r="AJ96" s="288"/>
      <c r="AK96" s="288"/>
      <c r="AL96" s="288"/>
      <c r="AM96" s="288"/>
      <c r="AN96" s="288"/>
      <c r="AO96" s="288"/>
      <c r="AP96" s="288"/>
    </row>
    <row r="97" spans="1:42">
      <c r="A97" s="227" t="s">
        <v>17</v>
      </c>
      <c r="C97" s="39" t="str">
        <f>C81</f>
        <v>Middle Income</v>
      </c>
      <c r="D97" s="227" t="s">
        <v>192</v>
      </c>
      <c r="E97" s="228">
        <f t="shared" ref="E97:M97" si="49">(1-E$26)*E$14</f>
        <v>7.9760713106683747</v>
      </c>
      <c r="F97" s="228">
        <f t="shared" si="49"/>
        <v>8.3221688025099319</v>
      </c>
      <c r="G97" s="228">
        <f t="shared" si="49"/>
        <v>8.5599307931193565</v>
      </c>
      <c r="H97" s="228">
        <f t="shared" si="49"/>
        <v>8.9219490754529218</v>
      </c>
      <c r="I97" s="228">
        <f t="shared" si="49"/>
        <v>10.324995833896683</v>
      </c>
      <c r="J97" s="228">
        <f t="shared" si="49"/>
        <v>11.863453827364451</v>
      </c>
      <c r="K97" s="228">
        <f t="shared" si="49"/>
        <v>13.461739432419103</v>
      </c>
      <c r="M97" s="228">
        <f t="shared" si="49"/>
        <v>7.9760713106683747</v>
      </c>
      <c r="N97" s="228">
        <f>(1-N$26)*N$14</f>
        <v>8.9219490754529218</v>
      </c>
      <c r="O97" s="228">
        <f>(1-O$26)*O$14</f>
        <v>10.324995833896683</v>
      </c>
      <c r="P97" s="228">
        <f>(1-P$26)*P$14</f>
        <v>11.863453827364451</v>
      </c>
      <c r="Q97" s="228">
        <f>(1-Q$26)*Q$14</f>
        <v>13.461739432419103</v>
      </c>
      <c r="S97" s="228">
        <f>(1-S$26)*S$14</f>
        <v>7.9760713106683747</v>
      </c>
      <c r="T97" s="228">
        <f>(1-T$26)*T$14</f>
        <v>9.4249951403454801</v>
      </c>
      <c r="U97" s="228">
        <f>(1-U$26)*U$14</f>
        <v>11.460196173719263</v>
      </c>
      <c r="V97" s="228">
        <f>(1-V$26)*V$14</f>
        <v>13.771482134019267</v>
      </c>
      <c r="W97" s="228">
        <f>(1-W$26)*W$14</f>
        <v>16.277582667071048</v>
      </c>
    </row>
    <row r="98" spans="1:42">
      <c r="A98" s="227" t="s">
        <v>17</v>
      </c>
      <c r="C98" s="227" t="str">
        <f>C94</f>
        <v>BRT</v>
      </c>
      <c r="D98" s="227" t="s">
        <v>49</v>
      </c>
      <c r="E98" s="288">
        <v>0</v>
      </c>
      <c r="F98" s="66">
        <f>E98</f>
        <v>0</v>
      </c>
      <c r="G98" s="66">
        <f>F98</f>
        <v>0</v>
      </c>
      <c r="H98" s="66">
        <f t="shared" ref="H98:K99" si="50">IF($D$4,T98,N98)</f>
        <v>0.02</v>
      </c>
      <c r="I98" s="66">
        <f t="shared" si="50"/>
        <v>0.05</v>
      </c>
      <c r="J98" s="66">
        <f t="shared" si="50"/>
        <v>0.1</v>
      </c>
      <c r="K98" s="66">
        <f t="shared" si="50"/>
        <v>0.15</v>
      </c>
      <c r="L98" s="289"/>
      <c r="M98" s="277">
        <f>$F98</f>
        <v>0</v>
      </c>
      <c r="N98" s="35">
        <v>0.02</v>
      </c>
      <c r="O98" s="35">
        <v>0.05</v>
      </c>
      <c r="P98" s="35">
        <v>0.1</v>
      </c>
      <c r="Q98" s="35">
        <v>0.15</v>
      </c>
      <c r="R98" s="288"/>
      <c r="S98" s="277">
        <f>$F98</f>
        <v>0</v>
      </c>
      <c r="T98" s="35">
        <v>0.02</v>
      </c>
      <c r="U98" s="77">
        <f>U83</f>
        <v>7.0000000000000007E-2</v>
      </c>
      <c r="V98" s="77">
        <v>0.2</v>
      </c>
      <c r="W98" s="77">
        <v>0.4</v>
      </c>
      <c r="X98" s="288"/>
      <c r="Y98" s="288"/>
      <c r="Z98" s="288"/>
      <c r="AA98" s="288"/>
      <c r="AB98" s="288"/>
      <c r="AC98" s="288"/>
      <c r="AD98" s="288"/>
      <c r="AE98" s="288"/>
      <c r="AF98" s="288"/>
      <c r="AG98" s="288"/>
      <c r="AH98" s="288"/>
      <c r="AI98" s="288"/>
      <c r="AJ98" s="288"/>
      <c r="AK98" s="288"/>
      <c r="AL98" s="288"/>
      <c r="AM98" s="288"/>
      <c r="AN98" s="288"/>
      <c r="AO98" s="288"/>
      <c r="AP98" s="288"/>
    </row>
    <row r="99" spans="1:42">
      <c r="A99" s="227" t="s">
        <v>17</v>
      </c>
      <c r="C99" s="227" t="str">
        <f>C95</f>
        <v>Gautrain</v>
      </c>
      <c r="D99" s="227" t="s">
        <v>49</v>
      </c>
      <c r="E99" s="288">
        <v>2E-3</v>
      </c>
      <c r="F99" s="66">
        <f>E99</f>
        <v>2E-3</v>
      </c>
      <c r="G99" s="66">
        <f>F99</f>
        <v>2E-3</v>
      </c>
      <c r="H99" s="66">
        <f t="shared" si="50"/>
        <v>2E-3</v>
      </c>
      <c r="I99" s="66">
        <f t="shared" si="50"/>
        <v>2E-3</v>
      </c>
      <c r="J99" s="66">
        <f t="shared" si="50"/>
        <v>2E-3</v>
      </c>
      <c r="K99" s="66">
        <f t="shared" si="50"/>
        <v>2E-3</v>
      </c>
      <c r="L99" s="289"/>
      <c r="M99" s="277">
        <f>$F99</f>
        <v>2E-3</v>
      </c>
      <c r="N99" s="50">
        <v>2E-3</v>
      </c>
      <c r="O99" s="50">
        <f>N99</f>
        <v>2E-3</v>
      </c>
      <c r="P99" s="50">
        <f>O99</f>
        <v>2E-3</v>
      </c>
      <c r="Q99" s="50">
        <f>P99</f>
        <v>2E-3</v>
      </c>
      <c r="R99" s="288"/>
      <c r="S99" s="277">
        <f>$F99</f>
        <v>2E-3</v>
      </c>
      <c r="T99" s="50">
        <v>2E-3</v>
      </c>
      <c r="U99" s="77">
        <f>U84</f>
        <v>0.01</v>
      </c>
      <c r="V99" s="77">
        <f>V84</f>
        <v>0.02</v>
      </c>
      <c r="W99" s="77">
        <f>W84</f>
        <v>0.03</v>
      </c>
      <c r="X99" s="288"/>
      <c r="Y99" s="288"/>
      <c r="Z99" s="288"/>
      <c r="AA99" s="288"/>
      <c r="AB99" s="288"/>
      <c r="AC99" s="288"/>
      <c r="AD99" s="288"/>
      <c r="AE99" s="288"/>
      <c r="AF99" s="288"/>
      <c r="AG99" s="288"/>
      <c r="AH99" s="288"/>
      <c r="AI99" s="288"/>
      <c r="AJ99" s="288"/>
      <c r="AK99" s="288"/>
      <c r="AL99" s="288"/>
      <c r="AM99" s="288"/>
      <c r="AN99" s="288"/>
      <c r="AO99" s="288"/>
      <c r="AP99" s="288"/>
    </row>
    <row r="100" spans="1:42">
      <c r="A100" s="227" t="s">
        <v>17</v>
      </c>
      <c r="C100" s="227" t="str">
        <f>C96</f>
        <v>Bus, minibus, metro rail</v>
      </c>
      <c r="D100" s="227" t="s">
        <v>49</v>
      </c>
      <c r="E100" s="34">
        <f t="shared" ref="E100:K100" si="51">1-SUM(E98:E99)</f>
        <v>0.998</v>
      </c>
      <c r="F100" s="34">
        <f t="shared" si="51"/>
        <v>0.998</v>
      </c>
      <c r="G100" s="34">
        <f t="shared" ref="G100" si="52">1-SUM(G98:G99)</f>
        <v>0.998</v>
      </c>
      <c r="H100" s="34">
        <f t="shared" si="51"/>
        <v>0.97799999999999998</v>
      </c>
      <c r="I100" s="34">
        <f t="shared" si="51"/>
        <v>0.94799999999999995</v>
      </c>
      <c r="J100" s="34">
        <f t="shared" si="51"/>
        <v>0.89800000000000002</v>
      </c>
      <c r="K100" s="34">
        <f t="shared" si="51"/>
        <v>0.84799999999999998</v>
      </c>
      <c r="L100" s="289"/>
      <c r="M100" s="34">
        <f>1-SUM(M98:M99)</f>
        <v>0.998</v>
      </c>
      <c r="N100" s="34">
        <f>1-SUM(N98:N99)</f>
        <v>0.97799999999999998</v>
      </c>
      <c r="O100" s="34">
        <f>1-SUM(O98:O99)</f>
        <v>0.94799999999999995</v>
      </c>
      <c r="P100" s="34">
        <f>1-SUM(P98:P99)</f>
        <v>0.89800000000000002</v>
      </c>
      <c r="Q100" s="34">
        <f>1-SUM(Q98:Q99)</f>
        <v>0.84799999999999998</v>
      </c>
      <c r="R100" s="288"/>
      <c r="S100" s="34">
        <f>1-SUM(S98:S99)</f>
        <v>0.998</v>
      </c>
      <c r="T100" s="34">
        <f>1-SUM(T98:T99)</f>
        <v>0.97799999999999998</v>
      </c>
      <c r="U100" s="34">
        <f>1-SUM(U98:U99)</f>
        <v>0.92</v>
      </c>
      <c r="V100" s="34">
        <f>1-SUM(V98:V99)</f>
        <v>0.78</v>
      </c>
      <c r="W100" s="34">
        <f>1-SUM(W98:W99)</f>
        <v>0.56999999999999995</v>
      </c>
      <c r="X100" s="288"/>
      <c r="Y100" s="288"/>
      <c r="Z100" s="288"/>
      <c r="AA100" s="288"/>
      <c r="AB100" s="288"/>
      <c r="AC100" s="288"/>
      <c r="AD100" s="288"/>
      <c r="AE100" s="288"/>
      <c r="AF100" s="288"/>
      <c r="AG100" s="288"/>
      <c r="AH100" s="288"/>
      <c r="AI100" s="288"/>
      <c r="AJ100" s="288"/>
      <c r="AK100" s="288"/>
      <c r="AL100" s="288"/>
      <c r="AM100" s="288"/>
      <c r="AN100" s="288"/>
      <c r="AO100" s="288"/>
      <c r="AP100" s="288"/>
    </row>
    <row r="101" spans="1:42">
      <c r="A101" s="227" t="s">
        <v>17</v>
      </c>
      <c r="C101" s="39" t="str">
        <f>C86</f>
        <v>High Income</v>
      </c>
      <c r="D101" s="227" t="s">
        <v>192</v>
      </c>
      <c r="E101" s="228">
        <f t="shared" ref="E101:M101" si="53">(1-E$27)*E$15</f>
        <v>2.7290863876574107</v>
      </c>
      <c r="F101" s="228">
        <f t="shared" si="53"/>
        <v>2.9313965743715649</v>
      </c>
      <c r="G101" s="228">
        <f t="shared" si="53"/>
        <v>3.0808028512376562</v>
      </c>
      <c r="H101" s="228">
        <f t="shared" si="53"/>
        <v>3.3115428531352116</v>
      </c>
      <c r="I101" s="228">
        <f t="shared" si="53"/>
        <v>4.0828182930041175</v>
      </c>
      <c r="J101" s="228">
        <f t="shared" si="53"/>
        <v>4.9523358298556621</v>
      </c>
      <c r="K101" s="228">
        <f t="shared" si="53"/>
        <v>5.8349365260577342</v>
      </c>
      <c r="M101" s="228">
        <f t="shared" si="53"/>
        <v>2.7290863876574107</v>
      </c>
      <c r="N101" s="228">
        <f>(1-N$27)*N$15</f>
        <v>3.3115428531352116</v>
      </c>
      <c r="O101" s="228">
        <f>(1-O$27)*O$15</f>
        <v>4.0828182930041175</v>
      </c>
      <c r="P101" s="228">
        <f>(1-P$27)*P$15</f>
        <v>4.9523358298556621</v>
      </c>
      <c r="Q101" s="228">
        <f>(1-Q$27)*Q$15</f>
        <v>5.8349365260577342</v>
      </c>
      <c r="S101" s="228">
        <f>(1-S$27)*S$15</f>
        <v>2.7290863876574107</v>
      </c>
      <c r="T101" s="228">
        <f>(1-T$27)*T$15</f>
        <v>3.6116514242005895</v>
      </c>
      <c r="U101" s="228">
        <f>(1-U$27)*U$15</f>
        <v>4.8135789734160266</v>
      </c>
      <c r="V101" s="228">
        <f>(1-V$27)*V$15</f>
        <v>6.2653722294007341</v>
      </c>
      <c r="W101" s="228">
        <f>(1-W$27)*W$15</f>
        <v>7.8720960637979598</v>
      </c>
    </row>
    <row r="102" spans="1:42">
      <c r="A102" s="227" t="s">
        <v>17</v>
      </c>
      <c r="C102" s="227" t="str">
        <f>C98</f>
        <v>BRT</v>
      </c>
      <c r="D102" s="227" t="s">
        <v>49</v>
      </c>
      <c r="E102" s="288">
        <v>0.01</v>
      </c>
      <c r="F102" s="66">
        <f>E102</f>
        <v>0.01</v>
      </c>
      <c r="G102" s="66">
        <f>F102</f>
        <v>0.01</v>
      </c>
      <c r="H102" s="66">
        <f t="shared" ref="H102:K103" si="54">IF($D$4,T102,N102)</f>
        <v>0.02</v>
      </c>
      <c r="I102" s="66">
        <f t="shared" si="54"/>
        <v>0.03</v>
      </c>
      <c r="J102" s="66">
        <f t="shared" si="54"/>
        <v>0.03</v>
      </c>
      <c r="K102" s="66">
        <f t="shared" si="54"/>
        <v>0.03</v>
      </c>
      <c r="L102" s="289"/>
      <c r="M102" s="291">
        <f>$F102</f>
        <v>0.01</v>
      </c>
      <c r="N102" s="35">
        <v>0.02</v>
      </c>
      <c r="O102" s="35">
        <v>0.03</v>
      </c>
      <c r="P102" s="35">
        <v>0.03</v>
      </c>
      <c r="Q102" s="35">
        <v>0.03</v>
      </c>
      <c r="R102" s="288"/>
      <c r="S102" s="277">
        <f>$F102</f>
        <v>0.01</v>
      </c>
      <c r="T102" s="35">
        <v>0.02</v>
      </c>
      <c r="U102" s="77">
        <v>7.0000000000000007E-2</v>
      </c>
      <c r="V102" s="77">
        <v>0.2</v>
      </c>
      <c r="W102" s="77">
        <v>0.4</v>
      </c>
      <c r="X102" s="288"/>
      <c r="Y102" s="288"/>
      <c r="Z102" s="288"/>
      <c r="AA102" s="288"/>
      <c r="AB102" s="288"/>
      <c r="AC102" s="288"/>
      <c r="AD102" s="288"/>
      <c r="AE102" s="288"/>
      <c r="AF102" s="288"/>
      <c r="AG102" s="288"/>
      <c r="AH102" s="288"/>
      <c r="AI102" s="288"/>
      <c r="AJ102" s="288"/>
      <c r="AK102" s="288"/>
      <c r="AL102" s="288"/>
      <c r="AM102" s="288"/>
      <c r="AN102" s="288"/>
      <c r="AO102" s="288"/>
      <c r="AP102" s="288"/>
    </row>
    <row r="103" spans="1:42">
      <c r="A103" s="227" t="s">
        <v>17</v>
      </c>
      <c r="C103" s="227" t="str">
        <f>C99</f>
        <v>Gautrain</v>
      </c>
      <c r="D103" s="227" t="s">
        <v>49</v>
      </c>
      <c r="E103" s="288">
        <v>5.0000000000000001E-3</v>
      </c>
      <c r="F103" s="162">
        <f>E103</f>
        <v>5.0000000000000001E-3</v>
      </c>
      <c r="G103" s="162">
        <f>F103</f>
        <v>5.0000000000000001E-3</v>
      </c>
      <c r="H103" s="66">
        <f t="shared" si="54"/>
        <v>5.0000000000000001E-3</v>
      </c>
      <c r="I103" s="66">
        <f t="shared" si="54"/>
        <v>5.0000000000000001E-3</v>
      </c>
      <c r="J103" s="66">
        <f t="shared" si="54"/>
        <v>5.0000000000000001E-3</v>
      </c>
      <c r="K103" s="66">
        <f t="shared" si="54"/>
        <v>5.0000000000000001E-3</v>
      </c>
      <c r="L103" s="289"/>
      <c r="M103" s="277">
        <f>$F103</f>
        <v>5.0000000000000001E-3</v>
      </c>
      <c r="N103" s="50">
        <v>5.0000000000000001E-3</v>
      </c>
      <c r="O103" s="50">
        <f>N103</f>
        <v>5.0000000000000001E-3</v>
      </c>
      <c r="P103" s="50">
        <f>O103</f>
        <v>5.0000000000000001E-3</v>
      </c>
      <c r="Q103" s="50">
        <f>P103</f>
        <v>5.0000000000000001E-3</v>
      </c>
      <c r="R103" s="288"/>
      <c r="S103" s="277">
        <f>$F103</f>
        <v>5.0000000000000001E-3</v>
      </c>
      <c r="T103" s="50">
        <v>5.0000000000000001E-3</v>
      </c>
      <c r="U103" s="77">
        <f>U89</f>
        <v>0.01</v>
      </c>
      <c r="V103" s="77">
        <f>V89</f>
        <v>0.03</v>
      </c>
      <c r="W103" s="77">
        <f>W89</f>
        <v>0.05</v>
      </c>
      <c r="X103" s="288"/>
      <c r="Y103" s="288"/>
      <c r="Z103" s="288"/>
      <c r="AA103" s="288"/>
      <c r="AB103" s="288"/>
      <c r="AC103" s="288"/>
      <c r="AD103" s="288"/>
      <c r="AE103" s="288"/>
      <c r="AF103" s="288"/>
      <c r="AG103" s="288"/>
      <c r="AH103" s="288"/>
      <c r="AI103" s="288"/>
      <c r="AJ103" s="288"/>
      <c r="AK103" s="288"/>
      <c r="AL103" s="288"/>
      <c r="AM103" s="288"/>
      <c r="AN103" s="288"/>
      <c r="AO103" s="288"/>
      <c r="AP103" s="288"/>
    </row>
    <row r="104" spans="1:42">
      <c r="A104" s="227" t="s">
        <v>17</v>
      </c>
      <c r="C104" s="227" t="str">
        <f>C100</f>
        <v>Bus, minibus, metro rail</v>
      </c>
      <c r="D104" s="227" t="s">
        <v>49</v>
      </c>
      <c r="E104" s="34">
        <f t="shared" ref="E104:M104" si="55">1-SUM(E102:E103)</f>
        <v>0.98499999999999999</v>
      </c>
      <c r="F104" s="34">
        <f t="shared" si="55"/>
        <v>0.98499999999999999</v>
      </c>
      <c r="G104" s="34">
        <f t="shared" ref="G104" si="56">1-SUM(G102:G103)</f>
        <v>0.98499999999999999</v>
      </c>
      <c r="H104" s="34">
        <f t="shared" si="55"/>
        <v>0.97499999999999998</v>
      </c>
      <c r="I104" s="34">
        <f t="shared" si="55"/>
        <v>0.96499999999999997</v>
      </c>
      <c r="J104" s="34">
        <f t="shared" si="55"/>
        <v>0.96499999999999997</v>
      </c>
      <c r="K104" s="34">
        <f t="shared" si="55"/>
        <v>0.96499999999999997</v>
      </c>
      <c r="L104" s="289"/>
      <c r="M104" s="34">
        <f t="shared" si="55"/>
        <v>0.98499999999999999</v>
      </c>
      <c r="N104" s="34">
        <f>1-SUM(N102:N103)</f>
        <v>0.97499999999999998</v>
      </c>
      <c r="O104" s="34">
        <f>1-SUM(O102:O103)</f>
        <v>0.96499999999999997</v>
      </c>
      <c r="P104" s="34">
        <f>1-SUM(P102:P103)</f>
        <v>0.96499999999999997</v>
      </c>
      <c r="Q104" s="34">
        <f>1-SUM(Q102:Q103)</f>
        <v>0.96499999999999997</v>
      </c>
      <c r="R104" s="288"/>
      <c r="S104" s="34">
        <f>1-SUM(S102:S103)</f>
        <v>0.98499999999999999</v>
      </c>
      <c r="T104" s="34">
        <f>1-SUM(T102:T103)</f>
        <v>0.97499999999999998</v>
      </c>
      <c r="U104" s="34">
        <f>1-SUM(U102:U103)</f>
        <v>0.92</v>
      </c>
      <c r="V104" s="34">
        <f>1-SUM(V102:V103)</f>
        <v>0.77</v>
      </c>
      <c r="W104" s="34">
        <f>1-SUM(W102:W103)</f>
        <v>0.55000000000000004</v>
      </c>
      <c r="X104" s="288"/>
      <c r="Y104" s="288"/>
      <c r="Z104" s="288"/>
      <c r="AA104" s="288"/>
      <c r="AB104" s="288"/>
      <c r="AC104" s="288"/>
      <c r="AD104" s="288"/>
      <c r="AE104" s="288"/>
      <c r="AF104" s="288"/>
      <c r="AG104" s="288"/>
      <c r="AH104" s="288"/>
      <c r="AI104" s="288"/>
      <c r="AJ104" s="288"/>
      <c r="AK104" s="288"/>
      <c r="AL104" s="288"/>
      <c r="AM104" s="288"/>
      <c r="AN104" s="288"/>
      <c r="AO104" s="288"/>
      <c r="AP104" s="288"/>
    </row>
    <row r="105" spans="1:42">
      <c r="A105" s="227" t="s">
        <v>17</v>
      </c>
      <c r="C105" s="274"/>
      <c r="E105" s="278"/>
      <c r="F105" s="278"/>
      <c r="G105" s="278"/>
      <c r="H105" s="278"/>
      <c r="I105" s="278"/>
      <c r="J105" s="278"/>
      <c r="K105" s="278"/>
    </row>
    <row r="106" spans="1:42" ht="15" thickBot="1">
      <c r="A106" s="227" t="s">
        <v>17</v>
      </c>
      <c r="C106" s="273" t="s">
        <v>195</v>
      </c>
      <c r="F106" s="278"/>
      <c r="G106" s="278"/>
      <c r="H106" s="278"/>
      <c r="I106" s="278"/>
      <c r="J106" s="278"/>
      <c r="K106" s="278"/>
    </row>
    <row r="107" spans="1:42">
      <c r="A107" s="227" t="s">
        <v>17</v>
      </c>
      <c r="C107" s="274" t="str">
        <f>C54</f>
        <v>Low Income</v>
      </c>
      <c r="D107" s="227" t="s">
        <v>174</v>
      </c>
      <c r="E107" s="228">
        <f t="shared" ref="E107:K109" si="57">E25*E13*E30*E41</f>
        <v>0.94081268449559941</v>
      </c>
      <c r="F107" s="228">
        <f t="shared" si="57"/>
        <v>0.93222153588688139</v>
      </c>
      <c r="G107" s="228">
        <f t="shared" si="57"/>
        <v>0.92708758503520916</v>
      </c>
      <c r="H107" s="228">
        <f t="shared" si="57"/>
        <v>0.91769675753136637</v>
      </c>
      <c r="I107" s="228">
        <f t="shared" si="57"/>
        <v>0.8812170443730728</v>
      </c>
      <c r="J107" s="228">
        <f t="shared" si="57"/>
        <v>0.82047881252436394</v>
      </c>
      <c r="K107" s="228">
        <f t="shared" si="57"/>
        <v>0.78538710585307192</v>
      </c>
      <c r="M107" s="228">
        <f t="shared" ref="M107:Q109" si="58">M25*M13*M30*M41</f>
        <v>0.94081268449559941</v>
      </c>
      <c r="N107" s="228">
        <f t="shared" si="58"/>
        <v>0.91769675753136637</v>
      </c>
      <c r="O107" s="228">
        <f t="shared" si="58"/>
        <v>0.8812170443730728</v>
      </c>
      <c r="P107" s="228">
        <f t="shared" si="58"/>
        <v>0.82047881252436394</v>
      </c>
      <c r="Q107" s="228">
        <f t="shared" si="58"/>
        <v>0.78538710585307192</v>
      </c>
      <c r="S107" s="228">
        <f t="shared" ref="S107:W109" si="59">S25*S13*S30*S41</f>
        <v>0.94081268449559941</v>
      </c>
      <c r="T107" s="228">
        <f t="shared" si="59"/>
        <v>2.484663971016174</v>
      </c>
      <c r="U107" s="228">
        <f t="shared" si="59"/>
        <v>1.7943919756209876</v>
      </c>
      <c r="V107" s="228">
        <f t="shared" si="59"/>
        <v>1.2062546430325789</v>
      </c>
      <c r="W107" s="228">
        <f t="shared" si="59"/>
        <v>1.0420837049878269</v>
      </c>
    </row>
    <row r="108" spans="1:42">
      <c r="A108" s="227" t="s">
        <v>17</v>
      </c>
      <c r="C108" s="274" t="str">
        <f>C55</f>
        <v>Middle Income</v>
      </c>
      <c r="D108" s="227" t="s">
        <v>174</v>
      </c>
      <c r="E108" s="228">
        <f>E26*E14*E31*E42</f>
        <v>37.788789390224515</v>
      </c>
      <c r="F108" s="228">
        <f t="shared" si="57"/>
        <v>32.857099681738731</v>
      </c>
      <c r="G108" s="228">
        <f t="shared" si="57"/>
        <v>33.795817654345399</v>
      </c>
      <c r="H108" s="228">
        <f t="shared" si="57"/>
        <v>35.225117043905755</v>
      </c>
      <c r="I108" s="228">
        <f t="shared" si="57"/>
        <v>40.764544120465828</v>
      </c>
      <c r="J108" s="228">
        <f t="shared" si="57"/>
        <v>46.838593908099639</v>
      </c>
      <c r="K108" s="228">
        <f t="shared" si="57"/>
        <v>53.148851569459566</v>
      </c>
      <c r="M108" s="228">
        <f t="shared" si="58"/>
        <v>31.490657825187096</v>
      </c>
      <c r="N108" s="228">
        <f t="shared" si="58"/>
        <v>35.225117043905755</v>
      </c>
      <c r="O108" s="228">
        <f t="shared" si="58"/>
        <v>40.764544120465828</v>
      </c>
      <c r="P108" s="228">
        <f t="shared" si="58"/>
        <v>46.838593908099639</v>
      </c>
      <c r="Q108" s="228">
        <f t="shared" si="58"/>
        <v>53.148851569459566</v>
      </c>
      <c r="S108" s="228">
        <f t="shared" si="59"/>
        <v>31.490657825187096</v>
      </c>
      <c r="T108" s="228">
        <f t="shared" si="59"/>
        <v>30.201134725518692</v>
      </c>
      <c r="U108" s="228">
        <f t="shared" si="59"/>
        <v>29.965685807979444</v>
      </c>
      <c r="V108" s="228">
        <f t="shared" si="59"/>
        <v>29.51999616291047</v>
      </c>
      <c r="W108" s="228">
        <f t="shared" si="59"/>
        <v>28.719518093241632</v>
      </c>
    </row>
    <row r="109" spans="1:42">
      <c r="A109" s="227" t="s">
        <v>17</v>
      </c>
      <c r="C109" s="274" t="str">
        <f>C56</f>
        <v>High Income</v>
      </c>
      <c r="D109" s="227" t="s">
        <v>174</v>
      </c>
      <c r="E109" s="228">
        <f>E27*E15*E32*E43</f>
        <v>63.973949550448829</v>
      </c>
      <c r="F109" s="228">
        <f>F27*F15*F32*F43</f>
        <v>57.263674212654522</v>
      </c>
      <c r="G109" s="228">
        <f>G27*G15*G32*G43</f>
        <v>61.123429996860942</v>
      </c>
      <c r="H109" s="228">
        <f t="shared" si="57"/>
        <v>65.701334210301567</v>
      </c>
      <c r="I109" s="228">
        <f t="shared" si="57"/>
        <v>81.218881278680215</v>
      </c>
      <c r="J109" s="228">
        <f t="shared" si="57"/>
        <v>98.549835840817593</v>
      </c>
      <c r="K109" s="228">
        <f t="shared" si="57"/>
        <v>116.55378499058853</v>
      </c>
      <c r="M109" s="228">
        <f t="shared" si="58"/>
        <v>53.311624625374023</v>
      </c>
      <c r="N109" s="228">
        <f t="shared" si="58"/>
        <v>65.701334210301567</v>
      </c>
      <c r="O109" s="228">
        <f t="shared" si="58"/>
        <v>81.218881278680215</v>
      </c>
      <c r="P109" s="228">
        <f t="shared" si="58"/>
        <v>98.549835840817593</v>
      </c>
      <c r="Q109" s="228">
        <f t="shared" si="58"/>
        <v>116.55378499058853</v>
      </c>
      <c r="S109" s="228">
        <f t="shared" si="59"/>
        <v>53.311624625374023</v>
      </c>
      <c r="T109" s="228">
        <f t="shared" si="59"/>
        <v>58.420847155928939</v>
      </c>
      <c r="U109" s="228">
        <f t="shared" si="59"/>
        <v>65.047462523719673</v>
      </c>
      <c r="V109" s="228">
        <f t="shared" si="59"/>
        <v>71.254653393829628</v>
      </c>
      <c r="W109" s="228">
        <f t="shared" si="59"/>
        <v>75.817963866472653</v>
      </c>
    </row>
    <row r="110" spans="1:42">
      <c r="A110" s="227" t="s">
        <v>17</v>
      </c>
      <c r="C110" s="274" t="str">
        <f>C57</f>
        <v>Other (gov/company/car rental)</v>
      </c>
      <c r="D110" s="227" t="s">
        <v>174</v>
      </c>
      <c r="E110" s="228">
        <f t="shared" ref="E110:K110" si="60">E50</f>
        <v>6.055780527292475</v>
      </c>
      <c r="F110" s="228">
        <f t="shared" si="60"/>
        <v>6.2687192611340015</v>
      </c>
      <c r="G110" s="228">
        <f t="shared" si="60"/>
        <v>6.4019803825198727</v>
      </c>
      <c r="H110" s="228">
        <f t="shared" si="60"/>
        <v>6.4019803825198727</v>
      </c>
      <c r="I110" s="228">
        <f t="shared" si="60"/>
        <v>6.9859344210619581</v>
      </c>
      <c r="J110" s="228">
        <f t="shared" si="60"/>
        <v>7.6167175862215215</v>
      </c>
      <c r="K110" s="228">
        <f t="shared" si="60"/>
        <v>8.0905690222699462</v>
      </c>
      <c r="L110" s="43"/>
      <c r="M110" s="228">
        <f>M50</f>
        <v>6.2687192611340015</v>
      </c>
      <c r="N110" s="228">
        <f>N50</f>
        <v>6.4019803825198727</v>
      </c>
      <c r="O110" s="228">
        <f>O50</f>
        <v>6.9859344210619581</v>
      </c>
      <c r="P110" s="228">
        <f>P50</f>
        <v>7.6167175862215215</v>
      </c>
      <c r="Q110" s="228">
        <f>Q50</f>
        <v>8.0905690222699462</v>
      </c>
      <c r="S110" s="228">
        <f>S50</f>
        <v>6.2687192611340015</v>
      </c>
      <c r="T110" s="228">
        <f>T50</f>
        <v>6.0818813633938786</v>
      </c>
      <c r="U110" s="228">
        <f>U50</f>
        <v>6.3048058150084163</v>
      </c>
      <c r="V110" s="228">
        <f>V50</f>
        <v>6.5303832404866755</v>
      </c>
      <c r="W110" s="228">
        <f>W50</f>
        <v>6.5898190346952585</v>
      </c>
    </row>
    <row r="111" spans="1:42">
      <c r="A111" s="227" t="s">
        <v>17</v>
      </c>
      <c r="C111" s="274" t="s">
        <v>6</v>
      </c>
      <c r="D111" s="227" t="s">
        <v>174</v>
      </c>
      <c r="E111" s="228">
        <f t="shared" ref="E111:K111" si="61">SUM(E107:E110)</f>
        <v>108.75933215246141</v>
      </c>
      <c r="F111" s="228">
        <f t="shared" si="61"/>
        <v>97.32171469141413</v>
      </c>
      <c r="G111" s="228">
        <f t="shared" ref="G111" si="62">SUM(G107:G110)</f>
        <v>102.24831561876141</v>
      </c>
      <c r="H111" s="228">
        <f t="shared" si="61"/>
        <v>108.24612839425856</v>
      </c>
      <c r="I111" s="228">
        <f t="shared" si="61"/>
        <v>129.85057686458109</v>
      </c>
      <c r="J111" s="228">
        <f t="shared" si="61"/>
        <v>153.82562614766312</v>
      </c>
      <c r="K111" s="228">
        <f t="shared" si="61"/>
        <v>178.57859268817111</v>
      </c>
      <c r="M111" s="228">
        <f>SUM(M107:M110)</f>
        <v>92.011814396190715</v>
      </c>
      <c r="N111" s="228">
        <f>SUM(N107:N110)</f>
        <v>108.24612839425856</v>
      </c>
      <c r="O111" s="228">
        <f>SUM(O107:O110)</f>
        <v>129.85057686458109</v>
      </c>
      <c r="P111" s="228">
        <f>SUM(P107:P110)</f>
        <v>153.82562614766312</v>
      </c>
      <c r="Q111" s="228">
        <f>SUM(Q107:Q110)</f>
        <v>178.57859268817111</v>
      </c>
      <c r="S111" s="228">
        <f>SUM(S107:S110)</f>
        <v>92.011814396190715</v>
      </c>
      <c r="T111" s="228">
        <f>SUM(T107:T110)</f>
        <v>97.188527215857675</v>
      </c>
      <c r="U111" s="228">
        <f>SUM(U107:U110)</f>
        <v>103.11234612232852</v>
      </c>
      <c r="V111" s="228">
        <f>SUM(V107:V110)</f>
        <v>108.51128744025935</v>
      </c>
      <c r="W111" s="228">
        <f>SUM(W107:W110)</f>
        <v>112.16938469939737</v>
      </c>
    </row>
    <row r="112" spans="1:42">
      <c r="A112" s="227" t="s">
        <v>17</v>
      </c>
      <c r="C112" s="274"/>
      <c r="E112" s="278"/>
      <c r="F112" s="278"/>
      <c r="G112" s="278"/>
      <c r="H112" s="278"/>
      <c r="I112" s="278"/>
      <c r="J112" s="278"/>
      <c r="K112" s="278"/>
    </row>
    <row r="113" spans="1:42" ht="15" thickBot="1">
      <c r="A113" s="227" t="s">
        <v>17</v>
      </c>
      <c r="C113" s="273" t="s">
        <v>183</v>
      </c>
    </row>
    <row r="114" spans="1:42">
      <c r="A114" s="227" t="s">
        <v>17</v>
      </c>
      <c r="C114" s="39" t="str">
        <f>C93</f>
        <v>Low Income</v>
      </c>
      <c r="E114" s="228"/>
      <c r="F114" s="228"/>
      <c r="G114" s="228"/>
      <c r="H114" s="228"/>
      <c r="I114" s="228"/>
      <c r="J114" s="228"/>
      <c r="K114" s="228"/>
    </row>
    <row r="115" spans="1:42">
      <c r="A115" s="227" t="s">
        <v>17</v>
      </c>
      <c r="C115" s="227" t="s">
        <v>64</v>
      </c>
      <c r="D115" s="227" t="s">
        <v>137</v>
      </c>
      <c r="E115" s="228">
        <f t="shared" ref="E115:K115" si="63">E$64*(1-E$73)*E68*(E75*E78+E93*E94)/1000</f>
        <v>1.1225708999999999E-2</v>
      </c>
      <c r="F115" s="228">
        <f t="shared" si="63"/>
        <v>1.1123200035307491E-2</v>
      </c>
      <c r="G115" s="228">
        <f t="shared" si="63"/>
        <v>1.1061942104551518E-2</v>
      </c>
      <c r="H115" s="228">
        <f t="shared" si="63"/>
        <v>2.1899782858080421</v>
      </c>
      <c r="I115" s="228">
        <f t="shared" si="63"/>
        <v>5.2573090632147368</v>
      </c>
      <c r="J115" s="228">
        <f t="shared" si="63"/>
        <v>9.7898939309072901</v>
      </c>
      <c r="K115" s="228">
        <f t="shared" si="63"/>
        <v>14.056773332173359</v>
      </c>
      <c r="L115" s="289"/>
      <c r="M115" s="228">
        <f>M$64*(1-M$73)*M68*(M75*M78+M93*M94)/1000</f>
        <v>1.1225708999999999E-2</v>
      </c>
      <c r="N115" s="228">
        <f>N$64*(1-N$73)*N68*(N75*N78+N93*N94)/1000</f>
        <v>2.1899782858080421</v>
      </c>
      <c r="O115" s="228">
        <f>O$64*(1-O$73)*O68*(O75*O78+O93*O94)/1000</f>
        <v>5.2573090632147368</v>
      </c>
      <c r="P115" s="228">
        <f>P$64*(1-P$73)*P68*(P75*P78+P93*P94)/1000</f>
        <v>9.7898939309072901</v>
      </c>
      <c r="Q115" s="228">
        <f>Q$64*(1-Q$73)*Q68*(Q75*Q78+Q93*Q94)/1000</f>
        <v>14.056773332173359</v>
      </c>
      <c r="R115" s="288"/>
      <c r="S115" s="228">
        <f>S$64*(1-S$73)*S68*(S75*S78+S93*S94)/1000</f>
        <v>1.1225708999999999E-2</v>
      </c>
      <c r="T115" s="228">
        <f>T$64*(1-T$73)*T68*(T75*T78+T93*T94)/1000</f>
        <v>2.1899782858080421</v>
      </c>
      <c r="U115" s="228">
        <f>U$64*(1-U$73)*U68*(U75*U78+U93*U94)/1000</f>
        <v>7.3602326885006306</v>
      </c>
      <c r="V115" s="228">
        <f>V$64*(1-V$73)*V68*(V75*V78+V93*V94)/1000</f>
        <v>19.383989983196436</v>
      </c>
      <c r="W115" s="228">
        <f>W$64*(1-W$73)*W68*(W75*W78+W93*W94)/1000</f>
        <v>36.922457952508694</v>
      </c>
      <c r="X115" s="288"/>
      <c r="Y115" s="288"/>
      <c r="Z115" s="288"/>
      <c r="AA115" s="288"/>
      <c r="AB115" s="288"/>
      <c r="AC115" s="288"/>
      <c r="AD115" s="288"/>
      <c r="AE115" s="288"/>
      <c r="AF115" s="288"/>
      <c r="AG115" s="288"/>
      <c r="AH115" s="288"/>
      <c r="AI115" s="288"/>
      <c r="AJ115" s="288"/>
      <c r="AK115" s="288"/>
      <c r="AL115" s="288"/>
      <c r="AM115" s="288"/>
      <c r="AN115" s="288"/>
      <c r="AO115" s="288"/>
      <c r="AP115" s="288"/>
    </row>
    <row r="116" spans="1:42">
      <c r="A116" s="227" t="s">
        <v>17</v>
      </c>
      <c r="C116" s="227" t="s">
        <v>83</v>
      </c>
      <c r="D116" s="227" t="s">
        <v>137</v>
      </c>
      <c r="E116" s="228">
        <f t="shared" ref="E116:K116" si="64">E$64*(1-E$73)*E69*(E75*E79+E93*E95)/1000</f>
        <v>0</v>
      </c>
      <c r="F116" s="228">
        <f t="shared" si="64"/>
        <v>0</v>
      </c>
      <c r="G116" s="228">
        <f t="shared" si="64"/>
        <v>0</v>
      </c>
      <c r="H116" s="228">
        <f t="shared" si="64"/>
        <v>0</v>
      </c>
      <c r="I116" s="228">
        <f t="shared" si="64"/>
        <v>0</v>
      </c>
      <c r="J116" s="228">
        <f t="shared" si="64"/>
        <v>0</v>
      </c>
      <c r="K116" s="228">
        <f t="shared" si="64"/>
        <v>0</v>
      </c>
      <c r="L116" s="289"/>
      <c r="M116" s="228">
        <f>M$64*(1-M$73)*M69*(M75*M79+M93*M95)/1000</f>
        <v>0</v>
      </c>
      <c r="N116" s="228">
        <f>N$64*(1-N$73)*N69*(N75*N79+N93*N95)/1000</f>
        <v>0</v>
      </c>
      <c r="O116" s="228">
        <f>O$64*(1-O$73)*O69*(O75*O79+O93*O95)/1000</f>
        <v>0</v>
      </c>
      <c r="P116" s="228">
        <f>P$64*(1-P$73)*P69*(P75*P79+P93*P95)/1000</f>
        <v>0</v>
      </c>
      <c r="Q116" s="228">
        <f>Q$64*(1-Q$73)*Q69*(Q75*Q79+Q93*Q95)/1000</f>
        <v>0</v>
      </c>
      <c r="R116" s="288"/>
      <c r="S116" s="228">
        <f>S$64*(1-S$73)*S69*(S75*S79+S93*S95)/1000</f>
        <v>0</v>
      </c>
      <c r="T116" s="228">
        <f>T$64*(1-T$73)*T69*(T75*T79+T93*T95)/1000</f>
        <v>0</v>
      </c>
      <c r="U116" s="228">
        <f>U$64*(1-U$73)*U69*(U75*U79+U93*U95)/1000</f>
        <v>0</v>
      </c>
      <c r="V116" s="228">
        <f>V$64*(1-V$73)*V69*(V75*V79+V93*V95)/1000</f>
        <v>0</v>
      </c>
      <c r="W116" s="228">
        <f>W$64*(1-W$73)*W69*(W75*W79+W93*W95)/1000</f>
        <v>0</v>
      </c>
      <c r="X116" s="288"/>
      <c r="Y116" s="288"/>
      <c r="Z116" s="288"/>
      <c r="AA116" s="288"/>
      <c r="AB116" s="288"/>
      <c r="AC116" s="288"/>
      <c r="AD116" s="288"/>
      <c r="AE116" s="288"/>
      <c r="AF116" s="288"/>
      <c r="AG116" s="288"/>
      <c r="AH116" s="288"/>
      <c r="AI116" s="288"/>
      <c r="AJ116" s="288"/>
      <c r="AK116" s="288"/>
      <c r="AL116" s="288"/>
      <c r="AM116" s="288"/>
      <c r="AN116" s="288"/>
      <c r="AO116" s="288"/>
      <c r="AP116" s="288"/>
    </row>
    <row r="117" spans="1:42">
      <c r="A117" s="227" t="s">
        <v>17</v>
      </c>
      <c r="C117" s="227" t="s">
        <v>82</v>
      </c>
      <c r="D117" s="227" t="s">
        <v>137</v>
      </c>
      <c r="E117" s="228">
        <f t="shared" ref="E117:K117" si="65">E$64*(1-E$73)*E70*(E75*E80+E93*E96)/1000</f>
        <v>74.800117103579993</v>
      </c>
      <c r="F117" s="228">
        <f t="shared" si="65"/>
        <v>73.770327832267583</v>
      </c>
      <c r="G117" s="228">
        <f t="shared" si="65"/>
        <v>73.36405826776722</v>
      </c>
      <c r="H117" s="228">
        <f t="shared" si="65"/>
        <v>71.168239846423049</v>
      </c>
      <c r="I117" s="228">
        <f t="shared" si="65"/>
        <v>66.236280426609554</v>
      </c>
      <c r="J117" s="228">
        <f t="shared" si="65"/>
        <v>58.407620734230534</v>
      </c>
      <c r="K117" s="228">
        <f t="shared" si="65"/>
        <v>52.78581164247575</v>
      </c>
      <c r="L117" s="289"/>
      <c r="M117" s="228">
        <f>M$64*(1-M$73)*M70*(M75*M80+M93*M96)/1000</f>
        <v>74.450178945895715</v>
      </c>
      <c r="N117" s="228">
        <f>N$64*(1-N$73)*N70*(N75*N80+N93*N96)/1000</f>
        <v>71.168239846423049</v>
      </c>
      <c r="O117" s="228">
        <f>O$64*(1-O$73)*O70*(O75*O80+O93*O96)/1000</f>
        <v>66.236280426609554</v>
      </c>
      <c r="P117" s="228">
        <f>P$64*(1-P$73)*P70*(P75*P80+P93*P96)/1000</f>
        <v>58.407620734230534</v>
      </c>
      <c r="Q117" s="228">
        <f>Q$64*(1-Q$73)*Q70*(Q75*Q80+Q93*Q96)/1000</f>
        <v>52.78581164247575</v>
      </c>
      <c r="R117" s="288"/>
      <c r="S117" s="228">
        <f>S$64*(1-S$73)*S70*(S75*S80+S93*S96)/1000</f>
        <v>74.450178945895715</v>
      </c>
      <c r="T117" s="228">
        <f>T$64*(1-T$73)*T70*(T75*T80+T93*T96)/1000</f>
        <v>70.509555063024905</v>
      </c>
      <c r="U117" s="228">
        <f>U$64*(1-U$73)*U70*(U75*U80+U93*U96)/1000</f>
        <v>64.428379192076335</v>
      </c>
      <c r="V117" s="228">
        <f>V$64*(1-V$73)*V70*(V75*V80+V93*V96)/1000</f>
        <v>51.81807526800997</v>
      </c>
      <c r="W117" s="228">
        <f>W$64*(1-W$73)*W70*(W75*W80+W93*W96)/1000</f>
        <v>37.394491243181228</v>
      </c>
      <c r="X117" s="288"/>
      <c r="Y117" s="288"/>
      <c r="Z117" s="288"/>
      <c r="AA117" s="288"/>
      <c r="AB117" s="288"/>
      <c r="AC117" s="288"/>
      <c r="AD117" s="288"/>
      <c r="AE117" s="288"/>
      <c r="AF117" s="288"/>
      <c r="AG117" s="288"/>
      <c r="AH117" s="288"/>
      <c r="AI117" s="288"/>
      <c r="AJ117" s="288"/>
      <c r="AK117" s="288"/>
      <c r="AL117" s="288"/>
      <c r="AM117" s="288"/>
      <c r="AN117" s="288"/>
      <c r="AO117" s="288"/>
      <c r="AP117" s="288"/>
    </row>
    <row r="118" spans="1:42">
      <c r="A118" s="227" t="s">
        <v>17</v>
      </c>
      <c r="C118" s="39" t="str">
        <f>C97</f>
        <v>Middle Income</v>
      </c>
      <c r="E118" s="228"/>
      <c r="F118" s="228"/>
      <c r="G118" s="228"/>
      <c r="H118" s="228"/>
      <c r="I118" s="228"/>
      <c r="J118" s="228"/>
      <c r="K118" s="228"/>
      <c r="M118" s="228"/>
      <c r="N118" s="228"/>
      <c r="O118" s="228"/>
      <c r="P118" s="228"/>
      <c r="Q118" s="228"/>
      <c r="S118" s="228"/>
      <c r="T118" s="228"/>
      <c r="U118" s="228"/>
      <c r="V118" s="228"/>
      <c r="W118" s="228"/>
    </row>
    <row r="119" spans="1:42">
      <c r="A119" s="227" t="s">
        <v>17</v>
      </c>
      <c r="C119" s="227" t="str">
        <f>C115</f>
        <v>BRT</v>
      </c>
      <c r="D119" s="227" t="s">
        <v>137</v>
      </c>
      <c r="E119" s="228">
        <f t="shared" ref="E119:K119" si="66">E$64*(1-E$73)*E68*(E81*E83+E97*E98)/1000</f>
        <v>0.43074794326220167</v>
      </c>
      <c r="F119" s="228">
        <f t="shared" si="66"/>
        <v>0.44943894751382552</v>
      </c>
      <c r="G119" s="228">
        <f t="shared" si="66"/>
        <v>0.46227929014014479</v>
      </c>
      <c r="H119" s="228">
        <f t="shared" si="66"/>
        <v>1.8182267815309985</v>
      </c>
      <c r="I119" s="228">
        <f t="shared" si="66"/>
        <v>5.2603931567032385</v>
      </c>
      <c r="J119" s="228">
        <f t="shared" si="66"/>
        <v>12.088417725739736</v>
      </c>
      <c r="K119" s="228">
        <f t="shared" si="66"/>
        <v>20.575516869984298</v>
      </c>
      <c r="L119" s="289"/>
      <c r="M119" s="228">
        <f>M$64*(1-M$73)*M68*(M81*M83+M97*M98)/1000</f>
        <v>0.43074794326220167</v>
      </c>
      <c r="N119" s="228">
        <f>N$64*(1-N$73)*N68*(N81*N83+N97*N98)/1000</f>
        <v>1.8182267815309985</v>
      </c>
      <c r="O119" s="228">
        <f>O$64*(1-O$73)*O68*(O81*O83+O97*O98)/1000</f>
        <v>5.2603931567032385</v>
      </c>
      <c r="P119" s="228">
        <f>P$64*(1-P$73)*P68*(P81*P83+P97*P98)/1000</f>
        <v>12.088417725739736</v>
      </c>
      <c r="Q119" s="228">
        <f>Q$64*(1-Q$73)*Q68*(Q81*Q83+Q97*Q98)/1000</f>
        <v>20.575516869984298</v>
      </c>
      <c r="R119" s="288"/>
      <c r="S119" s="228">
        <f>S$64*(1-S$73)*S68*(S81*S83+S97*S98)/1000</f>
        <v>0.43074794326220167</v>
      </c>
      <c r="T119" s="228">
        <f>T$64*(1-T$73)*T68*(T81*T83+T97*T98)/1000</f>
        <v>1.8182267815309985</v>
      </c>
      <c r="U119" s="228">
        <f>U$64*(1-U$73)*U68*(U81*U83+U97*U98)/1000</f>
        <v>7.3645504193845364</v>
      </c>
      <c r="V119" s="228">
        <f>V$64*(1-V$73)*V68*(V81*V83+V97*V98)/1000</f>
        <v>21.430294057363856</v>
      </c>
      <c r="W119" s="228">
        <f>W$64*(1-W$73)*W68*(W81*W83+W97*W98)/1000</f>
        <v>45.985834830205988</v>
      </c>
      <c r="X119" s="288"/>
      <c r="Y119" s="288"/>
      <c r="Z119" s="288"/>
      <c r="AA119" s="288"/>
      <c r="AB119" s="288"/>
      <c r="AC119" s="288"/>
      <c r="AD119" s="288"/>
      <c r="AE119" s="288"/>
      <c r="AF119" s="288"/>
      <c r="AG119" s="288"/>
      <c r="AH119" s="288"/>
      <c r="AI119" s="288"/>
      <c r="AJ119" s="288"/>
      <c r="AK119" s="288"/>
      <c r="AL119" s="288"/>
      <c r="AM119" s="288"/>
      <c r="AN119" s="288"/>
      <c r="AO119" s="288"/>
      <c r="AP119" s="288"/>
    </row>
    <row r="120" spans="1:42">
      <c r="A120" s="227" t="s">
        <v>17</v>
      </c>
      <c r="C120" s="227" t="str">
        <f>C116</f>
        <v>Gautrain</v>
      </c>
      <c r="D120" s="227" t="s">
        <v>137</v>
      </c>
      <c r="E120" s="228">
        <f t="shared" ref="E120:K120" si="67">E$64*(1-E$73)*E69*(E81*E84+E97*E99)/1000</f>
        <v>0.21672852491179959</v>
      </c>
      <c r="F120" s="228">
        <f t="shared" si="67"/>
        <v>0.22613280378054118</v>
      </c>
      <c r="G120" s="228">
        <f t="shared" si="67"/>
        <v>0.23259335352963256</v>
      </c>
      <c r="H120" s="228">
        <f t="shared" si="67"/>
        <v>0.24243023753746648</v>
      </c>
      <c r="I120" s="228">
        <f t="shared" si="67"/>
        <v>0.28055430169083939</v>
      </c>
      <c r="J120" s="228">
        <f t="shared" si="67"/>
        <v>0.32235780601972636</v>
      </c>
      <c r="K120" s="228">
        <f t="shared" si="67"/>
        <v>0.3657869665774986</v>
      </c>
      <c r="L120" s="289"/>
      <c r="M120" s="228">
        <f>M$64*(1-M$73)*M69*(M81*M84+M97*M99)/1000</f>
        <v>0.21672852491179959</v>
      </c>
      <c r="N120" s="228">
        <f>N$64*(1-N$73)*N69*(N81*N84+N97*N99)/1000</f>
        <v>0.24243023753746648</v>
      </c>
      <c r="O120" s="228">
        <f>O$64*(1-O$73)*O69*(O81*O84+O97*O99)/1000</f>
        <v>0.28055430169083939</v>
      </c>
      <c r="P120" s="228">
        <f>P$64*(1-P$73)*P69*(P81*P84+P97*P99)/1000</f>
        <v>0.32235780601972636</v>
      </c>
      <c r="Q120" s="228">
        <f>Q$64*(1-Q$73)*Q69*(Q81*Q84+Q97*Q99)/1000</f>
        <v>0.3657869665774986</v>
      </c>
      <c r="R120" s="288"/>
      <c r="S120" s="228">
        <f>S$64*(1-S$73)*S69*(S81*S84+S97*S99)/1000</f>
        <v>0.21672852491179959</v>
      </c>
      <c r="T120" s="228">
        <f>T$64*(1-T$73)*T69*(T81*T84+T97*T99)/1000</f>
        <v>0.24243023753746648</v>
      </c>
      <c r="U120" s="228">
        <f>U$64*(1-U$73)*U69*(U81*U84+U97*U99)/1000</f>
        <v>1.402771508454197</v>
      </c>
      <c r="V120" s="228">
        <f>V$64*(1-V$73)*V69*(V81*V84+V97*V99)/1000</f>
        <v>3.223578060197263</v>
      </c>
      <c r="W120" s="228">
        <f>W$64*(1-W$73)*W69*(W81*W84+W97*W99)/1000</f>
        <v>5.4868044986624778</v>
      </c>
      <c r="X120" s="288"/>
      <c r="Y120" s="288"/>
      <c r="Z120" s="288"/>
      <c r="AA120" s="288"/>
      <c r="AB120" s="288"/>
      <c r="AC120" s="288"/>
      <c r="AD120" s="288"/>
      <c r="AE120" s="288"/>
      <c r="AF120" s="288"/>
      <c r="AG120" s="288"/>
      <c r="AH120" s="288"/>
      <c r="AI120" s="288"/>
      <c r="AJ120" s="288"/>
      <c r="AK120" s="288"/>
      <c r="AL120" s="288"/>
      <c r="AM120" s="288"/>
      <c r="AN120" s="288"/>
      <c r="AO120" s="288"/>
      <c r="AP120" s="288"/>
    </row>
    <row r="121" spans="1:42">
      <c r="A121" s="227" t="s">
        <v>17</v>
      </c>
      <c r="C121" s="227" t="str">
        <f>C117</f>
        <v>Bus, minibus, metro rail</v>
      </c>
      <c r="D121" s="227" t="s">
        <v>137</v>
      </c>
      <c r="E121" s="228">
        <f t="shared" ref="E121:K121" si="68">E$64*(1-E$73)*E70*(E81*E85+E97*E100)/1000</f>
        <v>38.507522497132399</v>
      </c>
      <c r="F121" s="228">
        <f t="shared" si="68"/>
        <v>42.835451408410385</v>
      </c>
      <c r="G121" s="228">
        <f t="shared" si="68"/>
        <v>44.059248045705871</v>
      </c>
      <c r="H121" s="228">
        <f t="shared" si="68"/>
        <v>45.031679335829857</v>
      </c>
      <c r="I121" s="228">
        <f t="shared" si="68"/>
        <v>50.009108303364478</v>
      </c>
      <c r="J121" s="228">
        <f t="shared" si="68"/>
        <v>53.431155675750666</v>
      </c>
      <c r="K121" s="228">
        <f t="shared" si="68"/>
        <v>56.057249018658666</v>
      </c>
      <c r="L121" s="289"/>
      <c r="M121" s="228">
        <f>M$64*(1-M$73)*M70*(M81*M85+M97*M100)/1000</f>
        <v>41.054035692607975</v>
      </c>
      <c r="N121" s="228">
        <f>N$64*(1-N$73)*N70*(N81*N85+N97*N100)/1000</f>
        <v>45.031679335829857</v>
      </c>
      <c r="O121" s="228">
        <f>O$64*(1-O$73)*O70*(O81*O85+O97*O100)/1000</f>
        <v>50.009108303364478</v>
      </c>
      <c r="P121" s="228">
        <f>P$64*(1-P$73)*P70*(P81*P85+P97*P100)/1000</f>
        <v>53.431155675750666</v>
      </c>
      <c r="Q121" s="228">
        <f>Q$64*(1-Q$73)*Q70*(Q81*Q85+Q97*Q100)/1000</f>
        <v>56.057249018658666</v>
      </c>
      <c r="R121" s="288"/>
      <c r="S121" s="228">
        <f>S$64*(1-S$73)*S70*(S81*S85+S97*S100)/1000</f>
        <v>41.054035692607975</v>
      </c>
      <c r="T121" s="228">
        <f>T$64*(1-T$73)*T70*(T81*T85+T97*T100)/1000</f>
        <v>46.757738477803706</v>
      </c>
      <c r="U121" s="228">
        <f>U$64*(1-U$73)*U70*(U81*U85+U97*U100)/1000</f>
        <v>51.798141530939233</v>
      </c>
      <c r="V121" s="228">
        <f>V$64*(1-V$73)*V70*(V81*V85+V97*V100)/1000</f>
        <v>51.837279250174269</v>
      </c>
      <c r="W121" s="228">
        <f>W$64*(1-W$73)*W70*(W81*W85+W97*W100)/1000</f>
        <v>45.228513289089456</v>
      </c>
      <c r="X121" s="288"/>
      <c r="Y121" s="288"/>
      <c r="Z121" s="288"/>
      <c r="AA121" s="288"/>
      <c r="AB121" s="288"/>
      <c r="AC121" s="288"/>
      <c r="AD121" s="288"/>
      <c r="AE121" s="288"/>
      <c r="AF121" s="288"/>
      <c r="AG121" s="288"/>
      <c r="AH121" s="288"/>
      <c r="AI121" s="288"/>
      <c r="AJ121" s="288"/>
      <c r="AK121" s="288"/>
      <c r="AL121" s="288"/>
      <c r="AM121" s="288"/>
      <c r="AN121" s="288"/>
      <c r="AO121" s="288"/>
      <c r="AP121" s="288"/>
    </row>
    <row r="122" spans="1:42">
      <c r="A122" s="227" t="s">
        <v>17</v>
      </c>
      <c r="C122" s="39" t="str">
        <f>C101</f>
        <v>High Income</v>
      </c>
      <c r="E122" s="228"/>
      <c r="F122" s="228"/>
      <c r="G122" s="228"/>
      <c r="H122" s="228"/>
      <c r="I122" s="228"/>
      <c r="J122" s="228"/>
      <c r="K122" s="228"/>
      <c r="M122" s="228"/>
      <c r="N122" s="228"/>
      <c r="O122" s="228"/>
      <c r="P122" s="228"/>
      <c r="Q122" s="228"/>
      <c r="S122" s="228"/>
      <c r="T122" s="228"/>
      <c r="U122" s="228"/>
      <c r="V122" s="228"/>
      <c r="W122" s="228"/>
    </row>
    <row r="123" spans="1:42">
      <c r="A123" s="227" t="s">
        <v>17</v>
      </c>
      <c r="C123" s="227" t="str">
        <f>C119</f>
        <v>BRT</v>
      </c>
      <c r="D123" s="227" t="s">
        <v>137</v>
      </c>
      <c r="E123" s="228">
        <f t="shared" ref="E123:K123" si="69">E$64*(1-E$73)*E68*(E86*E88+E101*E102)/1000</f>
        <v>0.13069935846289796</v>
      </c>
      <c r="F123" s="228">
        <f t="shared" si="69"/>
        <v>0.14038824619237217</v>
      </c>
      <c r="G123" s="228">
        <f t="shared" si="69"/>
        <v>0.14754349954933538</v>
      </c>
      <c r="H123" s="228">
        <f t="shared" si="69"/>
        <v>1.4669938216532079</v>
      </c>
      <c r="I123" s="228">
        <f t="shared" si="69"/>
        <v>2.7129963931008132</v>
      </c>
      <c r="J123" s="228">
        <f t="shared" si="69"/>
        <v>3.7206601175753318</v>
      </c>
      <c r="K123" s="228">
        <f t="shared" si="69"/>
        <v>4.8902420683123422</v>
      </c>
      <c r="L123" s="289"/>
      <c r="M123" s="228">
        <f>M$64*(1-M$73)*M68*(M86*M88+M101*M102)/1000</f>
        <v>0.13069935846289796</v>
      </c>
      <c r="N123" s="228">
        <f>N$64*(1-N$73)*N68*(N86*N88+N101*N102)/1000</f>
        <v>1.4669938216532079</v>
      </c>
      <c r="O123" s="228">
        <f>O$64*(1-O$73)*O68*(O86*O88+O101*O102)/1000</f>
        <v>2.7129963931008132</v>
      </c>
      <c r="P123" s="228">
        <f>P$64*(1-P$73)*P68*(P86*P88+P101*P102)/1000</f>
        <v>3.7206601175753318</v>
      </c>
      <c r="Q123" s="228">
        <f>Q$64*(1-Q$73)*Q68*(Q86*Q88+Q101*Q102)/1000</f>
        <v>4.8902420683123422</v>
      </c>
      <c r="R123" s="288"/>
      <c r="S123" s="228">
        <f>S$64*(1-S$73)*S68*(S86*S88+S101*S102)/1000</f>
        <v>0.13069935846289796</v>
      </c>
      <c r="T123" s="228">
        <f>T$64*(1-T$73)*T68*(T86*T88+T101*T102)/1000</f>
        <v>1.4669938216532079</v>
      </c>
      <c r="U123" s="228">
        <f>U$64*(1-U$73)*U68*(U86*U88+U101*U102)/1000</f>
        <v>3.6351096491432551</v>
      </c>
      <c r="V123" s="228">
        <f>V$64*(1-V$73)*V68*(V86*V88+V101*V102)/1000</f>
        <v>9.9854860370494887</v>
      </c>
      <c r="W123" s="228">
        <f>W$64*(1-W$73)*W68*(W86*W88+W101*W102)/1000</f>
        <v>24.234346799000679</v>
      </c>
      <c r="X123" s="288"/>
      <c r="Y123" s="288"/>
      <c r="Z123" s="288"/>
      <c r="AA123" s="288"/>
      <c r="AB123" s="288"/>
      <c r="AC123" s="288"/>
      <c r="AD123" s="288"/>
      <c r="AE123" s="288"/>
      <c r="AF123" s="288"/>
      <c r="AG123" s="288"/>
      <c r="AH123" s="288"/>
      <c r="AI123" s="288"/>
      <c r="AJ123" s="288"/>
      <c r="AK123" s="288"/>
      <c r="AL123" s="288"/>
      <c r="AM123" s="288"/>
      <c r="AN123" s="288"/>
      <c r="AO123" s="288"/>
      <c r="AP123" s="288"/>
    </row>
    <row r="124" spans="1:42">
      <c r="A124" s="227" t="s">
        <v>17</v>
      </c>
      <c r="C124" s="227" t="str">
        <f>C120</f>
        <v>Gautrain</v>
      </c>
      <c r="D124" s="227" t="s">
        <v>137</v>
      </c>
      <c r="E124" s="228">
        <f t="shared" ref="E124:K124" si="70">E$64*(1-E$73)*E69*(E86*E89+E101*E103)/1000</f>
        <v>0.40298968859393536</v>
      </c>
      <c r="F124" s="228">
        <f t="shared" si="70"/>
        <v>0.43286375909314756</v>
      </c>
      <c r="G124" s="228">
        <f t="shared" si="70"/>
        <v>0.45492579027711744</v>
      </c>
      <c r="H124" s="228">
        <f t="shared" si="70"/>
        <v>0.48899794055106932</v>
      </c>
      <c r="I124" s="228">
        <f t="shared" si="70"/>
        <v>0.60288808735573629</v>
      </c>
      <c r="J124" s="228">
        <f t="shared" si="70"/>
        <v>0.73128512271068924</v>
      </c>
      <c r="K124" s="228">
        <f t="shared" si="70"/>
        <v>0.86161407870265072</v>
      </c>
      <c r="L124" s="289"/>
      <c r="M124" s="228">
        <f>M$64*(1-M$73)*M69*(M86*M89+M101*M103)/1000</f>
        <v>0.40298968859393536</v>
      </c>
      <c r="N124" s="228">
        <f>N$64*(1-N$73)*N69*(N86*N89+N101*N103)/1000</f>
        <v>0.48899794055106932</v>
      </c>
      <c r="O124" s="228">
        <f>O$64*(1-O$73)*O69*(O86*O89+O101*O103)/1000</f>
        <v>0.60288808735573629</v>
      </c>
      <c r="P124" s="228">
        <f>P$64*(1-P$73)*P69*(P86*P89+P101*P103)/1000</f>
        <v>0.73128512271068924</v>
      </c>
      <c r="Q124" s="228">
        <f>Q$64*(1-Q$73)*Q69*(Q86*Q89+Q101*Q103)/1000</f>
        <v>0.86161407870265072</v>
      </c>
      <c r="R124" s="288"/>
      <c r="S124" s="228">
        <f>S$64*(1-S$73)*S69*(S86*S89+S101*S103)/1000</f>
        <v>0.40298968859393536</v>
      </c>
      <c r="T124" s="228">
        <f>T$64*(1-T$73)*T69*(T86*T89+T101*T103)/1000</f>
        <v>0.48899794055106932</v>
      </c>
      <c r="U124" s="228">
        <f>U$64*(1-U$73)*U69*(U86*U89+U101*U103)/1000</f>
        <v>1.2057761747114728</v>
      </c>
      <c r="V124" s="228">
        <f>V$64*(1-V$73)*V69*(V86*V89+V101*V103)/1000</f>
        <v>4.3877107362641361</v>
      </c>
      <c r="W124" s="228">
        <f>W$64*(1-W$73)*W69*(W86*W89+W101*W103)/1000</f>
        <v>8.6161407870265077</v>
      </c>
      <c r="X124" s="288"/>
      <c r="Y124" s="288"/>
      <c r="Z124" s="288"/>
      <c r="AA124" s="288"/>
      <c r="AB124" s="288"/>
      <c r="AC124" s="288"/>
      <c r="AD124" s="288"/>
      <c r="AE124" s="288"/>
      <c r="AF124" s="288"/>
      <c r="AG124" s="288"/>
      <c r="AH124" s="288"/>
      <c r="AI124" s="288"/>
      <c r="AJ124" s="288"/>
      <c r="AK124" s="288"/>
      <c r="AL124" s="288"/>
      <c r="AM124" s="288"/>
      <c r="AN124" s="288"/>
      <c r="AO124" s="288"/>
      <c r="AP124" s="288"/>
    </row>
    <row r="125" spans="1:42">
      <c r="A125" s="227" t="s">
        <v>17</v>
      </c>
      <c r="C125" s="227" t="str">
        <f>C121</f>
        <v>Bus, minibus, metro rail</v>
      </c>
      <c r="D125" s="227" t="s">
        <v>137</v>
      </c>
      <c r="E125" s="228">
        <f t="shared" ref="E125:K125" si="71">E$64*(1-E$73)*E70*(E86*E90+E101*E104)/1000</f>
        <v>14.143859119579139</v>
      </c>
      <c r="F125" s="228">
        <f t="shared" si="71"/>
        <v>19.823024486224845</v>
      </c>
      <c r="G125" s="228">
        <f t="shared" si="71"/>
        <v>20.452817700809504</v>
      </c>
      <c r="H125" s="228">
        <f t="shared" si="71"/>
        <v>21.112386610340163</v>
      </c>
      <c r="I125" s="228">
        <f t="shared" si="71"/>
        <v>25.339603506851734</v>
      </c>
      <c r="J125" s="228">
        <f t="shared" si="71"/>
        <v>30.435936304050205</v>
      </c>
      <c r="K125" s="228">
        <f t="shared" si="71"/>
        <v>35.34443892375463</v>
      </c>
      <c r="L125" s="289"/>
      <c r="M125" s="228">
        <f>M$64*(1-M$73)*M70*(M86*M90+M101*M104)/1000</f>
        <v>18.454939451225052</v>
      </c>
      <c r="N125" s="228">
        <f>N$64*(1-N$73)*N70*(N86*N90+N101*N104)/1000</f>
        <v>21.112386610340163</v>
      </c>
      <c r="O125" s="228">
        <f>O$64*(1-O$73)*O70*(O86*O90+O101*O104)/1000</f>
        <v>25.339603506851734</v>
      </c>
      <c r="P125" s="228">
        <f>P$64*(1-P$73)*P70*(P86*P90+P101*P104)/1000</f>
        <v>30.435936304050205</v>
      </c>
      <c r="Q125" s="228">
        <f>Q$64*(1-Q$73)*Q70*(Q86*Q90+Q101*Q104)/1000</f>
        <v>35.34443892375463</v>
      </c>
      <c r="R125" s="288"/>
      <c r="S125" s="228">
        <f>S$64*(1-S$73)*S70*(S86*S90+S101*S104)/1000</f>
        <v>18.454939451225052</v>
      </c>
      <c r="T125" s="228">
        <f>T$64*(1-T$73)*T70*(T86*T90+T101*T104)/1000</f>
        <v>23.465563857602884</v>
      </c>
      <c r="U125" s="228">
        <f>U$64*(1-U$73)*U70*(U86*U90+U101*U104)/1000</f>
        <v>29.630515967607995</v>
      </c>
      <c r="V125" s="228">
        <f>V$64*(1-V$73)*V70*(V86*V90+V101*V104)/1000</f>
        <v>33.252148983490883</v>
      </c>
      <c r="W125" s="228">
        <f>W$64*(1-W$73)*W70*(W86*W90+W101*W104)/1000</f>
        <v>31.859332631754782</v>
      </c>
      <c r="X125" s="288"/>
      <c r="Y125" s="288"/>
      <c r="Z125" s="288"/>
      <c r="AA125" s="288"/>
      <c r="AB125" s="288"/>
      <c r="AC125" s="288"/>
      <c r="AD125" s="288"/>
      <c r="AE125" s="288"/>
      <c r="AF125" s="288"/>
      <c r="AG125" s="288"/>
      <c r="AH125" s="288"/>
      <c r="AI125" s="288"/>
      <c r="AJ125" s="288"/>
      <c r="AK125" s="288"/>
      <c r="AL125" s="288"/>
      <c r="AM125" s="288"/>
      <c r="AN125" s="288"/>
      <c r="AO125" s="288"/>
      <c r="AP125" s="288"/>
    </row>
    <row r="126" spans="1:42">
      <c r="A126" s="227" t="s">
        <v>17</v>
      </c>
      <c r="C126" s="39" t="s">
        <v>6</v>
      </c>
      <c r="E126" s="228"/>
      <c r="F126" s="228"/>
      <c r="G126" s="228"/>
      <c r="H126" s="228"/>
      <c r="I126" s="228"/>
      <c r="J126" s="228"/>
      <c r="K126" s="228"/>
      <c r="M126" s="228"/>
      <c r="N126" s="228"/>
      <c r="O126" s="228"/>
      <c r="P126" s="228"/>
      <c r="Q126" s="228"/>
      <c r="S126" s="228"/>
      <c r="T126" s="228"/>
      <c r="U126" s="228"/>
      <c r="V126" s="228"/>
      <c r="W126" s="228"/>
    </row>
    <row r="127" spans="1:42">
      <c r="A127" s="227" t="s">
        <v>17</v>
      </c>
      <c r="C127" s="227" t="str">
        <f>C123</f>
        <v>BRT</v>
      </c>
      <c r="D127" s="227" t="s">
        <v>137</v>
      </c>
      <c r="E127" s="228">
        <f t="shared" ref="E127:K129" si="72">E115+E119+E123</f>
        <v>0.57267301072509957</v>
      </c>
      <c r="F127" s="228">
        <f t="shared" si="72"/>
        <v>0.60095039374150516</v>
      </c>
      <c r="G127" s="228">
        <f t="shared" si="72"/>
        <v>0.6208847317940317</v>
      </c>
      <c r="H127" s="228">
        <f t="shared" si="72"/>
        <v>5.4751988889922485</v>
      </c>
      <c r="I127" s="228">
        <f t="shared" si="72"/>
        <v>13.230698613018788</v>
      </c>
      <c r="J127" s="228">
        <f t="shared" si="72"/>
        <v>25.59897177422236</v>
      </c>
      <c r="K127" s="228">
        <f t="shared" si="72"/>
        <v>39.522532270469995</v>
      </c>
      <c r="L127" s="289"/>
      <c r="M127" s="228">
        <f t="shared" ref="M127:Q129" si="73">M115+M119+M123</f>
        <v>0.57267301072509957</v>
      </c>
      <c r="N127" s="228">
        <f t="shared" si="73"/>
        <v>5.4751988889922485</v>
      </c>
      <c r="O127" s="228">
        <f t="shared" si="73"/>
        <v>13.230698613018788</v>
      </c>
      <c r="P127" s="228">
        <f t="shared" si="73"/>
        <v>25.59897177422236</v>
      </c>
      <c r="Q127" s="228">
        <f t="shared" si="73"/>
        <v>39.522532270469995</v>
      </c>
      <c r="R127" s="288"/>
      <c r="S127" s="228">
        <f t="shared" ref="S127:W129" si="74">S115+S119+S123</f>
        <v>0.57267301072509957</v>
      </c>
      <c r="T127" s="228">
        <f t="shared" si="74"/>
        <v>5.4751988889922485</v>
      </c>
      <c r="U127" s="228">
        <f t="shared" si="74"/>
        <v>18.359892757028422</v>
      </c>
      <c r="V127" s="228">
        <f t="shared" si="74"/>
        <v>50.799770077609786</v>
      </c>
      <c r="W127" s="228">
        <f t="shared" si="74"/>
        <v>107.14263958171536</v>
      </c>
      <c r="X127" s="288"/>
      <c r="Y127" s="288"/>
      <c r="Z127" s="288"/>
      <c r="AA127" s="288"/>
      <c r="AB127" s="288"/>
      <c r="AC127" s="288"/>
      <c r="AD127" s="288"/>
      <c r="AE127" s="288"/>
      <c r="AF127" s="288"/>
      <c r="AG127" s="288"/>
      <c r="AH127" s="288"/>
      <c r="AI127" s="288"/>
      <c r="AJ127" s="288"/>
      <c r="AK127" s="288"/>
      <c r="AL127" s="288"/>
      <c r="AM127" s="288"/>
      <c r="AN127" s="288"/>
      <c r="AO127" s="288"/>
      <c r="AP127" s="288"/>
    </row>
    <row r="128" spans="1:42">
      <c r="A128" s="227" t="s">
        <v>17</v>
      </c>
      <c r="C128" s="227" t="str">
        <f>C124</f>
        <v>Gautrain</v>
      </c>
      <c r="D128" s="227" t="s">
        <v>137</v>
      </c>
      <c r="E128" s="228">
        <f t="shared" si="72"/>
        <v>0.61971821350573497</v>
      </c>
      <c r="F128" s="228">
        <f t="shared" si="72"/>
        <v>0.65899656287368868</v>
      </c>
      <c r="G128" s="228">
        <f t="shared" si="72"/>
        <v>0.68751914380675005</v>
      </c>
      <c r="H128" s="228">
        <f t="shared" si="72"/>
        <v>0.73142817808853577</v>
      </c>
      <c r="I128" s="228">
        <f t="shared" si="72"/>
        <v>0.88344238904657568</v>
      </c>
      <c r="J128" s="228">
        <f t="shared" si="72"/>
        <v>1.0536429287304157</v>
      </c>
      <c r="K128" s="228">
        <f t="shared" si="72"/>
        <v>1.2274010452801494</v>
      </c>
      <c r="L128" s="289"/>
      <c r="M128" s="228">
        <f t="shared" si="73"/>
        <v>0.61971821350573497</v>
      </c>
      <c r="N128" s="228">
        <f t="shared" si="73"/>
        <v>0.73142817808853577</v>
      </c>
      <c r="O128" s="228">
        <f t="shared" si="73"/>
        <v>0.88344238904657568</v>
      </c>
      <c r="P128" s="228">
        <f t="shared" si="73"/>
        <v>1.0536429287304157</v>
      </c>
      <c r="Q128" s="228">
        <f t="shared" si="73"/>
        <v>1.2274010452801494</v>
      </c>
      <c r="R128" s="288"/>
      <c r="S128" s="228">
        <f t="shared" si="74"/>
        <v>0.61971821350573497</v>
      </c>
      <c r="T128" s="228">
        <f t="shared" si="74"/>
        <v>0.73142817808853577</v>
      </c>
      <c r="U128" s="228">
        <f t="shared" si="74"/>
        <v>2.6085476831656695</v>
      </c>
      <c r="V128" s="228">
        <f t="shared" si="74"/>
        <v>7.6112887964613991</v>
      </c>
      <c r="W128" s="228">
        <f t="shared" si="74"/>
        <v>14.102945285688985</v>
      </c>
      <c r="X128" s="288"/>
      <c r="Y128" s="288"/>
      <c r="Z128" s="288"/>
      <c r="AA128" s="288"/>
      <c r="AB128" s="288"/>
      <c r="AC128" s="288"/>
      <c r="AD128" s="288"/>
      <c r="AE128" s="288"/>
      <c r="AF128" s="288"/>
      <c r="AG128" s="288"/>
      <c r="AH128" s="288"/>
      <c r="AI128" s="288"/>
      <c r="AJ128" s="288"/>
      <c r="AK128" s="288"/>
      <c r="AL128" s="288"/>
      <c r="AM128" s="288"/>
      <c r="AN128" s="288"/>
      <c r="AO128" s="288"/>
      <c r="AP128" s="288"/>
    </row>
    <row r="129" spans="1:42">
      <c r="A129" s="227" t="s">
        <v>17</v>
      </c>
      <c r="C129" s="227" t="str">
        <f>C125</f>
        <v>Bus, minibus, metro rail</v>
      </c>
      <c r="D129" s="227" t="s">
        <v>137</v>
      </c>
      <c r="E129" s="228">
        <f t="shared" si="72"/>
        <v>127.45149872029153</v>
      </c>
      <c r="F129" s="228">
        <f t="shared" si="72"/>
        <v>136.42880372690283</v>
      </c>
      <c r="G129" s="228">
        <f t="shared" si="72"/>
        <v>137.8761240142826</v>
      </c>
      <c r="H129" s="228">
        <f t="shared" si="72"/>
        <v>137.31230579259307</v>
      </c>
      <c r="I129" s="228">
        <f t="shared" si="72"/>
        <v>141.58499223682577</v>
      </c>
      <c r="J129" s="228">
        <f t="shared" si="72"/>
        <v>142.27471271403141</v>
      </c>
      <c r="K129" s="228">
        <f t="shared" si="72"/>
        <v>144.18749958488905</v>
      </c>
      <c r="L129" s="289"/>
      <c r="M129" s="228">
        <f t="shared" si="73"/>
        <v>133.95915408972874</v>
      </c>
      <c r="N129" s="228">
        <f t="shared" si="73"/>
        <v>137.31230579259307</v>
      </c>
      <c r="O129" s="228">
        <f t="shared" si="73"/>
        <v>141.58499223682577</v>
      </c>
      <c r="P129" s="228">
        <f t="shared" si="73"/>
        <v>142.27471271403141</v>
      </c>
      <c r="Q129" s="228">
        <f t="shared" si="73"/>
        <v>144.18749958488905</v>
      </c>
      <c r="R129" s="288"/>
      <c r="S129" s="228">
        <f t="shared" si="74"/>
        <v>133.95915408972874</v>
      </c>
      <c r="T129" s="228">
        <f t="shared" si="74"/>
        <v>140.73285739843149</v>
      </c>
      <c r="U129" s="228">
        <f t="shared" si="74"/>
        <v>145.85703669062357</v>
      </c>
      <c r="V129" s="228">
        <f t="shared" si="74"/>
        <v>136.90750350167514</v>
      </c>
      <c r="W129" s="228">
        <f t="shared" si="74"/>
        <v>114.48233716402547</v>
      </c>
      <c r="X129" s="288"/>
      <c r="Y129" s="288"/>
      <c r="Z129" s="288"/>
      <c r="AA129" s="288"/>
      <c r="AB129" s="288"/>
      <c r="AC129" s="288"/>
      <c r="AD129" s="288"/>
      <c r="AE129" s="288"/>
      <c r="AF129" s="288"/>
      <c r="AG129" s="288"/>
      <c r="AH129" s="288"/>
      <c r="AI129" s="288"/>
      <c r="AJ129" s="288"/>
      <c r="AK129" s="288"/>
      <c r="AL129" s="288"/>
      <c r="AM129" s="288"/>
      <c r="AN129" s="288"/>
      <c r="AO129" s="288"/>
      <c r="AP129" s="288"/>
    </row>
    <row r="130" spans="1:42">
      <c r="A130" s="227" t="s">
        <v>17</v>
      </c>
    </row>
    <row r="131" spans="1:42" ht="15" thickBot="1">
      <c r="A131" s="227" t="s">
        <v>17</v>
      </c>
      <c r="C131" s="273" t="s">
        <v>176</v>
      </c>
      <c r="E131" s="278"/>
      <c r="F131" s="278"/>
      <c r="G131" s="278"/>
      <c r="H131" s="278"/>
      <c r="I131" s="278"/>
      <c r="J131" s="278"/>
      <c r="K131" s="278"/>
      <c r="S131" s="227" t="s">
        <v>206</v>
      </c>
    </row>
    <row r="132" spans="1:42">
      <c r="A132" s="227" t="s">
        <v>17</v>
      </c>
      <c r="C132" s="274" t="s">
        <v>101</v>
      </c>
      <c r="E132" s="73">
        <f>[3]Calib_1011!M77</f>
        <v>0.86657939364773595</v>
      </c>
      <c r="F132" s="277">
        <f t="shared" ref="F132:G134" si="75">E132</f>
        <v>0.86657939364773595</v>
      </c>
      <c r="G132" s="277">
        <f t="shared" si="75"/>
        <v>0.86657939364773595</v>
      </c>
      <c r="H132" s="277">
        <f>1-H133-H134</f>
        <v>0.86657939364773595</v>
      </c>
      <c r="I132" s="277">
        <f>1-I133-I134</f>
        <v>0.86657939364773595</v>
      </c>
      <c r="J132" s="277">
        <f>1-J133-J134</f>
        <v>0.86657939364773595</v>
      </c>
      <c r="K132" s="277">
        <f>1-K133-K134</f>
        <v>0.86657939364773595</v>
      </c>
      <c r="M132" s="277">
        <f>1-M133-M134</f>
        <v>0.86657939364773595</v>
      </c>
      <c r="N132" s="277">
        <f>1-N133-N134</f>
        <v>0.86657939364773595</v>
      </c>
      <c r="O132" s="277">
        <f>1-O133-O134</f>
        <v>0.86657939364773595</v>
      </c>
      <c r="P132" s="277">
        <f>1-P133-P134</f>
        <v>0.86657939364773595</v>
      </c>
      <c r="Q132" s="277">
        <f>1-Q133-Q134</f>
        <v>0.86657939364773595</v>
      </c>
      <c r="S132" s="277">
        <f>1-S133-S134</f>
        <v>0.86657939364773595</v>
      </c>
      <c r="T132" s="277">
        <f>1-T133-T134</f>
        <v>0.86608131506193442</v>
      </c>
      <c r="U132" s="277">
        <f>1-U133-U134</f>
        <v>0.87608131506193443</v>
      </c>
      <c r="V132" s="277">
        <f>1-V133-V134</f>
        <v>0.88608131506193444</v>
      </c>
      <c r="W132" s="277">
        <f>1-W133-W134</f>
        <v>0.88608131506193444</v>
      </c>
    </row>
    <row r="133" spans="1:42">
      <c r="A133" s="227" t="s">
        <v>17</v>
      </c>
      <c r="C133" s="274" t="s">
        <v>100</v>
      </c>
      <c r="E133" s="73">
        <f>[3]Calib_1011!M78</f>
        <v>9.950192141419846E-2</v>
      </c>
      <c r="F133" s="66">
        <f t="shared" si="75"/>
        <v>9.950192141419846E-2</v>
      </c>
      <c r="G133" s="66">
        <f t="shared" si="75"/>
        <v>9.950192141419846E-2</v>
      </c>
      <c r="H133" s="66">
        <f t="shared" ref="H133:K134" si="76">IF($D$4,T133,N133)</f>
        <v>9.950192141419846E-2</v>
      </c>
      <c r="I133" s="66">
        <f t="shared" si="76"/>
        <v>9.950192141419846E-2</v>
      </c>
      <c r="J133" s="66">
        <f t="shared" si="76"/>
        <v>9.950192141419846E-2</v>
      </c>
      <c r="K133" s="66">
        <f t="shared" si="76"/>
        <v>9.950192141419846E-2</v>
      </c>
      <c r="M133" s="277">
        <f>$F133</f>
        <v>9.950192141419846E-2</v>
      </c>
      <c r="N133" s="74">
        <f>M133</f>
        <v>9.950192141419846E-2</v>
      </c>
      <c r="O133" s="74">
        <f t="shared" ref="O133:Q134" si="77">N133</f>
        <v>9.950192141419846E-2</v>
      </c>
      <c r="P133" s="74">
        <f t="shared" si="77"/>
        <v>9.950192141419846E-2</v>
      </c>
      <c r="Q133" s="74">
        <f t="shared" si="77"/>
        <v>9.950192141419846E-2</v>
      </c>
      <c r="S133" s="277">
        <f>$F133</f>
        <v>9.950192141419846E-2</v>
      </c>
      <c r="T133" s="84">
        <v>0.1</v>
      </c>
      <c r="U133" s="84">
        <v>0.09</v>
      </c>
      <c r="V133" s="84">
        <v>0.08</v>
      </c>
      <c r="W133" s="74">
        <f>V133</f>
        <v>0.08</v>
      </c>
    </row>
    <row r="134" spans="1:42">
      <c r="A134" s="227" t="s">
        <v>17</v>
      </c>
      <c r="C134" s="274" t="s">
        <v>177</v>
      </c>
      <c r="E134" s="73">
        <f>[3]Calib_1011!M79</f>
        <v>3.3918684938065609E-2</v>
      </c>
      <c r="F134" s="66">
        <f t="shared" si="75"/>
        <v>3.3918684938065609E-2</v>
      </c>
      <c r="G134" s="66">
        <f t="shared" si="75"/>
        <v>3.3918684938065609E-2</v>
      </c>
      <c r="H134" s="66">
        <f t="shared" si="76"/>
        <v>3.3918684938065609E-2</v>
      </c>
      <c r="I134" s="66">
        <f t="shared" si="76"/>
        <v>3.3918684938065609E-2</v>
      </c>
      <c r="J134" s="66">
        <f t="shared" si="76"/>
        <v>3.3918684938065609E-2</v>
      </c>
      <c r="K134" s="66">
        <f t="shared" si="76"/>
        <v>3.3918684938065609E-2</v>
      </c>
      <c r="M134" s="277">
        <f>$F134</f>
        <v>3.3918684938065609E-2</v>
      </c>
      <c r="N134" s="74">
        <f>M134</f>
        <v>3.3918684938065609E-2</v>
      </c>
      <c r="O134" s="74">
        <f t="shared" si="77"/>
        <v>3.3918684938065609E-2</v>
      </c>
      <c r="P134" s="74">
        <f t="shared" si="77"/>
        <v>3.3918684938065609E-2</v>
      </c>
      <c r="Q134" s="74">
        <f t="shared" si="77"/>
        <v>3.3918684938065609E-2</v>
      </c>
      <c r="S134" s="277">
        <f>$F134</f>
        <v>3.3918684938065609E-2</v>
      </c>
      <c r="T134" s="74">
        <f>S134</f>
        <v>3.3918684938065609E-2</v>
      </c>
      <c r="U134" s="74">
        <f>T134</f>
        <v>3.3918684938065609E-2</v>
      </c>
      <c r="V134" s="74">
        <f>U134</f>
        <v>3.3918684938065609E-2</v>
      </c>
      <c r="W134" s="74">
        <f>V134</f>
        <v>3.3918684938065609E-2</v>
      </c>
    </row>
    <row r="135" spans="1:42">
      <c r="A135" s="227" t="s">
        <v>17</v>
      </c>
      <c r="C135" s="274"/>
      <c r="E135" s="278"/>
      <c r="F135" s="278"/>
      <c r="G135" s="278"/>
      <c r="H135" s="278"/>
      <c r="I135" s="278"/>
      <c r="J135" s="278"/>
      <c r="K135" s="278"/>
    </row>
    <row r="136" spans="1:42" ht="15" thickBot="1">
      <c r="A136" s="227" t="s">
        <v>17</v>
      </c>
      <c r="C136" s="273" t="s">
        <v>186</v>
      </c>
      <c r="E136" s="278"/>
      <c r="F136" s="278"/>
      <c r="G136" s="278"/>
      <c r="H136" s="278"/>
      <c r="I136" s="278"/>
      <c r="J136" s="278"/>
      <c r="K136" s="278"/>
    </row>
    <row r="137" spans="1:42">
      <c r="A137" s="227" t="s">
        <v>17</v>
      </c>
      <c r="C137" s="274" t="s">
        <v>63</v>
      </c>
      <c r="E137" s="73">
        <f>[3]Calib_1011!M71</f>
        <v>0.12640977128296399</v>
      </c>
      <c r="F137" s="277">
        <f t="shared" ref="F137:G139" si="78">E137</f>
        <v>0.12640977128296399</v>
      </c>
      <c r="G137" s="277">
        <f t="shared" si="78"/>
        <v>0.12640977128296399</v>
      </c>
      <c r="H137" s="277">
        <f>1-H138-H139</f>
        <v>0.12640977128296407</v>
      </c>
      <c r="I137" s="277">
        <f>1-I138-I139</f>
        <v>0.16068497455047467</v>
      </c>
      <c r="J137" s="277">
        <f>1-J138-J139</f>
        <v>0.14068497455047468</v>
      </c>
      <c r="K137" s="277">
        <f>1-K138-K139</f>
        <v>0.10568497455047468</v>
      </c>
      <c r="M137" s="277">
        <f>1-M138-M139</f>
        <v>0.12640977128296407</v>
      </c>
      <c r="N137" s="277">
        <f>1-N138-N139</f>
        <v>0.12640977128296407</v>
      </c>
      <c r="O137" s="277">
        <f>1-O138-O139</f>
        <v>0.16068497455047467</v>
      </c>
      <c r="P137" s="277">
        <f>1-P138-P139</f>
        <v>0.14068497455047468</v>
      </c>
      <c r="Q137" s="277">
        <f>1-Q138-Q139</f>
        <v>0.10568497455047468</v>
      </c>
      <c r="S137" s="277">
        <f>1-S138-S139</f>
        <v>0.12640977128296407</v>
      </c>
      <c r="T137" s="277">
        <f>1-T138-T139</f>
        <v>0.12640977128296407</v>
      </c>
      <c r="U137" s="277">
        <f>1-U138-U139</f>
        <v>0.16068497455047467</v>
      </c>
      <c r="V137" s="277">
        <f>1-V138-V139</f>
        <v>0.14068497455047468</v>
      </c>
      <c r="W137" s="277">
        <f>1-W138-W139</f>
        <v>8.5684974550474663E-2</v>
      </c>
    </row>
    <row r="138" spans="1:42">
      <c r="A138" s="227" t="s">
        <v>17</v>
      </c>
      <c r="C138" s="274" t="s">
        <v>185</v>
      </c>
      <c r="E138" s="73">
        <f>[3]Calib_1011!M72</f>
        <v>0.74431502544952532</v>
      </c>
      <c r="F138" s="66">
        <f t="shared" si="78"/>
        <v>0.74431502544952532</v>
      </c>
      <c r="G138" s="66">
        <f t="shared" si="78"/>
        <v>0.74431502544952532</v>
      </c>
      <c r="H138" s="66">
        <f t="shared" ref="H138:K139" si="79">IF($D$4,T138,N138)</f>
        <v>0.74431502544952532</v>
      </c>
      <c r="I138" s="66">
        <f t="shared" si="79"/>
        <v>0.74431502544952532</v>
      </c>
      <c r="J138" s="66">
        <f t="shared" si="79"/>
        <v>0.74431502544952532</v>
      </c>
      <c r="K138" s="66">
        <f t="shared" si="79"/>
        <v>0.74431502544952532</v>
      </c>
      <c r="M138" s="277">
        <f>$F138</f>
        <v>0.74431502544952532</v>
      </c>
      <c r="N138" s="74">
        <f>M138</f>
        <v>0.74431502544952532</v>
      </c>
      <c r="O138" s="74">
        <f t="shared" ref="O138:Q138" si="80">N138</f>
        <v>0.74431502544952532</v>
      </c>
      <c r="P138" s="74">
        <f t="shared" si="80"/>
        <v>0.74431502544952532</v>
      </c>
      <c r="Q138" s="74">
        <f t="shared" si="80"/>
        <v>0.74431502544952532</v>
      </c>
      <c r="S138" s="277">
        <f>$F138</f>
        <v>0.74431502544952532</v>
      </c>
      <c r="T138" s="74">
        <f t="shared" ref="T138:W139" si="81">S138</f>
        <v>0.74431502544952532</v>
      </c>
      <c r="U138" s="74">
        <f t="shared" si="81"/>
        <v>0.74431502544952532</v>
      </c>
      <c r="V138" s="74">
        <f t="shared" si="81"/>
        <v>0.74431502544952532</v>
      </c>
      <c r="W138" s="74">
        <f t="shared" si="81"/>
        <v>0.74431502544952532</v>
      </c>
    </row>
    <row r="139" spans="1:42">
      <c r="A139" s="227" t="s">
        <v>17</v>
      </c>
      <c r="C139" s="274" t="s">
        <v>187</v>
      </c>
      <c r="E139" s="73">
        <f>[3]Calib_1011!M73</f>
        <v>0.1292752032675106</v>
      </c>
      <c r="F139" s="66">
        <f t="shared" si="78"/>
        <v>0.1292752032675106</v>
      </c>
      <c r="G139" s="66">
        <f t="shared" si="78"/>
        <v>0.1292752032675106</v>
      </c>
      <c r="H139" s="66">
        <f t="shared" si="79"/>
        <v>0.1292752032675106</v>
      </c>
      <c r="I139" s="66">
        <f t="shared" si="79"/>
        <v>9.5000000000000001E-2</v>
      </c>
      <c r="J139" s="66">
        <f t="shared" si="79"/>
        <v>0.115</v>
      </c>
      <c r="K139" s="66">
        <f t="shared" si="79"/>
        <v>0.15</v>
      </c>
      <c r="M139" s="277">
        <f>$F139</f>
        <v>0.1292752032675106</v>
      </c>
      <c r="N139" s="74">
        <f>M139</f>
        <v>0.1292752032675106</v>
      </c>
      <c r="O139" s="74">
        <v>9.5000000000000001E-2</v>
      </c>
      <c r="P139" s="74">
        <v>0.115</v>
      </c>
      <c r="Q139" s="74">
        <v>0.15</v>
      </c>
      <c r="S139" s="277">
        <f>$F139</f>
        <v>0.1292752032675106</v>
      </c>
      <c r="T139" s="74">
        <f t="shared" si="81"/>
        <v>0.1292752032675106</v>
      </c>
      <c r="U139" s="74">
        <v>9.5000000000000001E-2</v>
      </c>
      <c r="V139" s="74">
        <v>0.115</v>
      </c>
      <c r="W139" s="84">
        <v>0.17</v>
      </c>
    </row>
    <row r="140" spans="1:42">
      <c r="A140" s="227" t="s">
        <v>17</v>
      </c>
      <c r="C140" s="274"/>
      <c r="E140" s="278"/>
      <c r="F140" s="278"/>
      <c r="G140" s="278"/>
      <c r="H140" s="278"/>
      <c r="I140" s="278"/>
      <c r="J140" s="278"/>
      <c r="K140" s="278"/>
    </row>
    <row r="141" spans="1:42" ht="15" thickBot="1">
      <c r="A141" s="227" t="s">
        <v>17</v>
      </c>
      <c r="C141" s="273" t="s">
        <v>197</v>
      </c>
      <c r="E141" s="278"/>
      <c r="F141" s="278"/>
      <c r="G141" s="278"/>
      <c r="H141" s="278"/>
      <c r="I141" s="278"/>
      <c r="J141" s="278"/>
      <c r="K141" s="278"/>
      <c r="S141" s="227" t="s">
        <v>207</v>
      </c>
    </row>
    <row r="142" spans="1:42">
      <c r="A142" s="227" t="s">
        <v>17</v>
      </c>
      <c r="C142" s="227" t="s">
        <v>63</v>
      </c>
      <c r="D142" s="227" t="s">
        <v>97</v>
      </c>
      <c r="E142" s="292">
        <f>[3]Calib_1011!$K$71</f>
        <v>25</v>
      </c>
      <c r="F142" s="293">
        <f t="shared" ref="F142:G144" si="82">E142</f>
        <v>25</v>
      </c>
      <c r="G142" s="293">
        <f t="shared" si="82"/>
        <v>25</v>
      </c>
      <c r="H142" s="293">
        <f t="shared" ref="H142:K144" si="83">IF($D$4,T142,N142)</f>
        <v>25</v>
      </c>
      <c r="I142" s="293">
        <f t="shared" si="83"/>
        <v>25</v>
      </c>
      <c r="J142" s="293">
        <f t="shared" si="83"/>
        <v>25</v>
      </c>
      <c r="K142" s="293">
        <f t="shared" si="83"/>
        <v>25</v>
      </c>
      <c r="L142" s="294"/>
      <c r="M142" s="295">
        <f>$F142</f>
        <v>25</v>
      </c>
      <c r="N142" s="48">
        <f>M142</f>
        <v>25</v>
      </c>
      <c r="O142" s="48">
        <f t="shared" ref="O142:Q144" si="84">N142</f>
        <v>25</v>
      </c>
      <c r="P142" s="48">
        <f t="shared" si="84"/>
        <v>25</v>
      </c>
      <c r="Q142" s="48">
        <f t="shared" si="84"/>
        <v>25</v>
      </c>
      <c r="R142" s="296"/>
      <c r="S142" s="295">
        <f>$F142</f>
        <v>25</v>
      </c>
      <c r="T142" s="85">
        <f t="shared" ref="T142:V144" si="85">S142*1.05</f>
        <v>26.25</v>
      </c>
      <c r="U142" s="85">
        <f t="shared" si="85"/>
        <v>27.5625</v>
      </c>
      <c r="V142" s="85">
        <f t="shared" si="85"/>
        <v>28.940625000000001</v>
      </c>
      <c r="W142" s="83">
        <f>V142</f>
        <v>28.940625000000001</v>
      </c>
      <c r="X142" s="296"/>
      <c r="Y142" s="296"/>
      <c r="Z142" s="296"/>
      <c r="AA142" s="296"/>
      <c r="AB142" s="296"/>
      <c r="AC142" s="296"/>
      <c r="AD142" s="296"/>
      <c r="AE142" s="296"/>
      <c r="AF142" s="296"/>
      <c r="AG142" s="296"/>
      <c r="AH142" s="296"/>
      <c r="AI142" s="296"/>
      <c r="AJ142" s="296"/>
      <c r="AK142" s="296"/>
      <c r="AL142" s="296"/>
      <c r="AM142" s="296"/>
      <c r="AN142" s="296"/>
      <c r="AO142" s="296"/>
      <c r="AP142" s="296"/>
    </row>
    <row r="143" spans="1:42">
      <c r="A143" s="227" t="s">
        <v>17</v>
      </c>
      <c r="C143" s="227" t="s">
        <v>185</v>
      </c>
      <c r="D143" s="227" t="s">
        <v>97</v>
      </c>
      <c r="E143" s="292">
        <f>[3]Calib_1011!$K$72</f>
        <v>14</v>
      </c>
      <c r="F143" s="293">
        <f t="shared" si="82"/>
        <v>14</v>
      </c>
      <c r="G143" s="293">
        <f t="shared" si="82"/>
        <v>14</v>
      </c>
      <c r="H143" s="293">
        <f t="shared" si="83"/>
        <v>14</v>
      </c>
      <c r="I143" s="293">
        <f t="shared" si="83"/>
        <v>14</v>
      </c>
      <c r="J143" s="293">
        <f t="shared" si="83"/>
        <v>14</v>
      </c>
      <c r="K143" s="293">
        <f t="shared" si="83"/>
        <v>14</v>
      </c>
      <c r="L143" s="294"/>
      <c r="M143" s="295">
        <f>$F143</f>
        <v>14</v>
      </c>
      <c r="N143" s="48">
        <f>M143</f>
        <v>14</v>
      </c>
      <c r="O143" s="48">
        <f t="shared" si="84"/>
        <v>14</v>
      </c>
      <c r="P143" s="48">
        <f t="shared" si="84"/>
        <v>14</v>
      </c>
      <c r="Q143" s="48">
        <f t="shared" si="84"/>
        <v>14</v>
      </c>
      <c r="R143" s="296"/>
      <c r="S143" s="295">
        <f>$F143</f>
        <v>14</v>
      </c>
      <c r="T143" s="85">
        <f t="shared" si="85"/>
        <v>14.700000000000001</v>
      </c>
      <c r="U143" s="85">
        <f t="shared" si="85"/>
        <v>15.435000000000002</v>
      </c>
      <c r="V143" s="85">
        <f t="shared" si="85"/>
        <v>16.206750000000003</v>
      </c>
      <c r="W143" s="83">
        <f>V143</f>
        <v>16.206750000000003</v>
      </c>
      <c r="X143" s="296"/>
      <c r="Y143" s="296"/>
      <c r="Z143" s="296"/>
      <c r="AA143" s="296"/>
      <c r="AB143" s="296"/>
      <c r="AC143" s="296"/>
      <c r="AD143" s="296"/>
      <c r="AE143" s="296"/>
      <c r="AF143" s="296"/>
      <c r="AG143" s="296"/>
      <c r="AH143" s="296"/>
      <c r="AI143" s="296"/>
      <c r="AJ143" s="296"/>
      <c r="AK143" s="296"/>
      <c r="AL143" s="296"/>
      <c r="AM143" s="296"/>
      <c r="AN143" s="296"/>
      <c r="AO143" s="296"/>
      <c r="AP143" s="296"/>
    </row>
    <row r="144" spans="1:42">
      <c r="A144" s="227" t="s">
        <v>17</v>
      </c>
      <c r="C144" s="227" t="s">
        <v>64</v>
      </c>
      <c r="D144" s="227" t="s">
        <v>97</v>
      </c>
      <c r="E144" s="292">
        <f>E142</f>
        <v>25</v>
      </c>
      <c r="F144" s="293">
        <f t="shared" si="82"/>
        <v>25</v>
      </c>
      <c r="G144" s="293">
        <f t="shared" si="82"/>
        <v>25</v>
      </c>
      <c r="H144" s="293">
        <f t="shared" si="83"/>
        <v>25</v>
      </c>
      <c r="I144" s="293">
        <f t="shared" si="83"/>
        <v>25</v>
      </c>
      <c r="J144" s="293">
        <f t="shared" si="83"/>
        <v>25</v>
      </c>
      <c r="K144" s="293">
        <f t="shared" si="83"/>
        <v>25</v>
      </c>
      <c r="L144" s="294"/>
      <c r="M144" s="295">
        <f>$F144</f>
        <v>25</v>
      </c>
      <c r="N144" s="48">
        <f>M144</f>
        <v>25</v>
      </c>
      <c r="O144" s="48">
        <f t="shared" si="84"/>
        <v>25</v>
      </c>
      <c r="P144" s="48">
        <f t="shared" si="84"/>
        <v>25</v>
      </c>
      <c r="Q144" s="48">
        <f t="shared" si="84"/>
        <v>25</v>
      </c>
      <c r="R144" s="296"/>
      <c r="S144" s="295">
        <f>$F144</f>
        <v>25</v>
      </c>
      <c r="T144" s="85">
        <f t="shared" si="85"/>
        <v>26.25</v>
      </c>
      <c r="U144" s="85">
        <f t="shared" si="85"/>
        <v>27.5625</v>
      </c>
      <c r="V144" s="85">
        <f t="shared" si="85"/>
        <v>28.940625000000001</v>
      </c>
      <c r="W144" s="83">
        <f>V144</f>
        <v>28.940625000000001</v>
      </c>
      <c r="X144" s="296"/>
      <c r="Y144" s="296"/>
      <c r="Z144" s="296"/>
      <c r="AA144" s="296"/>
      <c r="AB144" s="296"/>
      <c r="AC144" s="296"/>
      <c r="AD144" s="296"/>
      <c r="AE144" s="296"/>
      <c r="AF144" s="296"/>
      <c r="AG144" s="296"/>
      <c r="AH144" s="296"/>
      <c r="AI144" s="296"/>
      <c r="AJ144" s="296"/>
      <c r="AK144" s="296"/>
      <c r="AL144" s="296"/>
      <c r="AM144" s="296"/>
      <c r="AN144" s="296"/>
      <c r="AO144" s="296"/>
      <c r="AP144" s="296"/>
    </row>
    <row r="145" spans="1:42">
      <c r="A145" s="227" t="s">
        <v>17</v>
      </c>
      <c r="C145" s="274"/>
      <c r="E145" s="278"/>
      <c r="F145" s="278"/>
      <c r="G145" s="278"/>
      <c r="H145" s="278"/>
      <c r="I145" s="278"/>
      <c r="J145" s="278"/>
      <c r="K145" s="278"/>
    </row>
    <row r="146" spans="1:42">
      <c r="A146" s="227" t="s">
        <v>17</v>
      </c>
    </row>
    <row r="147" spans="1:42">
      <c r="A147" s="227" t="s">
        <v>17</v>
      </c>
      <c r="E147" s="30"/>
      <c r="F147" s="30"/>
      <c r="G147" s="30"/>
      <c r="H147" s="30"/>
      <c r="I147" s="30"/>
      <c r="J147" s="30"/>
      <c r="K147" s="30"/>
      <c r="L147" s="294"/>
      <c r="M147" s="296" t="str">
        <f>M11</f>
        <v>Reference</v>
      </c>
      <c r="N147" s="296"/>
      <c r="O147" s="296"/>
      <c r="P147" s="296"/>
      <c r="Q147" s="296"/>
      <c r="R147" s="296"/>
      <c r="S147" s="296" t="str">
        <f>S11</f>
        <v>Scenario</v>
      </c>
      <c r="T147" s="296"/>
      <c r="U147" s="296"/>
      <c r="V147" s="296"/>
      <c r="W147" s="296"/>
      <c r="X147" s="296"/>
      <c r="Y147" s="296"/>
      <c r="Z147" s="296"/>
      <c r="AA147" s="296"/>
      <c r="AB147" s="296"/>
      <c r="AC147" s="296"/>
      <c r="AD147" s="296"/>
      <c r="AE147" s="296"/>
      <c r="AF147" s="296"/>
      <c r="AG147" s="296"/>
      <c r="AH147" s="296"/>
      <c r="AI147" s="296"/>
      <c r="AJ147" s="296"/>
      <c r="AK147" s="296"/>
      <c r="AL147" s="296"/>
      <c r="AM147" s="296"/>
      <c r="AN147" s="296"/>
      <c r="AO147" s="296"/>
      <c r="AP147" s="296"/>
    </row>
    <row r="148" spans="1:42" ht="15" thickBot="1">
      <c r="A148" s="227" t="s">
        <v>17</v>
      </c>
      <c r="C148" s="273" t="s">
        <v>143</v>
      </c>
      <c r="D148" s="273"/>
      <c r="E148" s="7">
        <v>2012</v>
      </c>
      <c r="F148" s="7">
        <f>F4</f>
        <v>2015</v>
      </c>
      <c r="G148" s="7">
        <f>G4</f>
        <v>2017</v>
      </c>
      <c r="H148" s="7">
        <v>2020</v>
      </c>
      <c r="I148" s="7">
        <v>2030</v>
      </c>
      <c r="J148" s="7">
        <v>2040</v>
      </c>
      <c r="K148" s="7">
        <v>2050</v>
      </c>
      <c r="L148" s="294"/>
      <c r="M148" s="296">
        <v>2015</v>
      </c>
      <c r="N148" s="296">
        <v>2020</v>
      </c>
      <c r="O148" s="296">
        <v>2030</v>
      </c>
      <c r="P148" s="296">
        <v>2040</v>
      </c>
      <c r="Q148" s="296">
        <v>2050</v>
      </c>
      <c r="R148" s="296"/>
      <c r="S148" s="296">
        <v>2015</v>
      </c>
      <c r="T148" s="296">
        <v>2020</v>
      </c>
      <c r="U148" s="296">
        <v>2030</v>
      </c>
      <c r="V148" s="296">
        <v>2040</v>
      </c>
      <c r="W148" s="296">
        <v>2050</v>
      </c>
      <c r="X148" s="296"/>
      <c r="Y148" s="296"/>
      <c r="Z148" s="296"/>
      <c r="AA148" s="296"/>
      <c r="AB148" s="296"/>
      <c r="AC148" s="296"/>
      <c r="AD148" s="296"/>
      <c r="AE148" s="296"/>
      <c r="AF148" s="296"/>
      <c r="AG148" s="296"/>
      <c r="AH148" s="296"/>
      <c r="AI148" s="296"/>
      <c r="AJ148" s="296"/>
      <c r="AK148" s="296"/>
      <c r="AL148" s="296"/>
      <c r="AM148" s="296"/>
      <c r="AN148" s="296"/>
      <c r="AO148" s="296"/>
      <c r="AP148" s="296"/>
    </row>
    <row r="149" spans="1:42">
      <c r="A149" s="227" t="s">
        <v>17</v>
      </c>
      <c r="B149" s="227" t="s">
        <v>129</v>
      </c>
      <c r="C149" s="227" t="s">
        <v>103</v>
      </c>
      <c r="D149" s="227" t="s">
        <v>87</v>
      </c>
      <c r="E149" s="52">
        <v>87.436118489606741</v>
      </c>
      <c r="F149" s="52">
        <v>91.2</v>
      </c>
      <c r="G149" s="52">
        <v>93.68</v>
      </c>
      <c r="H149" s="52">
        <f t="shared" ref="H149:K151" si="86">H132*H$111</f>
        <v>93.803864308611566</v>
      </c>
      <c r="I149" s="52">
        <f t="shared" si="86"/>
        <v>112.52583416411741</v>
      </c>
      <c r="J149" s="52">
        <f t="shared" si="86"/>
        <v>133.30211783452521</v>
      </c>
      <c r="K149" s="52">
        <f t="shared" si="86"/>
        <v>154.75252857018134</v>
      </c>
      <c r="L149" s="297" t="str">
        <f>C149</f>
        <v>Car Priv.Veh. Vehicle km</v>
      </c>
      <c r="M149" s="279">
        <f t="shared" ref="M149:Q151" si="87">M132*M$111</f>
        <v>79.735542327878974</v>
      </c>
      <c r="N149" s="279">
        <f t="shared" si="87"/>
        <v>93.803864308611566</v>
      </c>
      <c r="O149" s="279">
        <f t="shared" si="87"/>
        <v>112.52583416411741</v>
      </c>
      <c r="P149" s="279">
        <f t="shared" si="87"/>
        <v>133.30211783452521</v>
      </c>
      <c r="Q149" s="279">
        <f t="shared" si="87"/>
        <v>154.75252857018134</v>
      </c>
      <c r="R149" s="279"/>
      <c r="S149" s="279">
        <f t="shared" ref="S149:W151" si="88">S132*S$111</f>
        <v>79.735542327878974</v>
      </c>
      <c r="T149" s="279">
        <f t="shared" si="88"/>
        <v>84.17316746004262</v>
      </c>
      <c r="U149" s="279">
        <f t="shared" si="88"/>
        <v>90.33479978997093</v>
      </c>
      <c r="V149" s="279">
        <f t="shared" si="88"/>
        <v>96.149824274128576</v>
      </c>
      <c r="W149" s="279">
        <f t="shared" si="88"/>
        <v>99.391195904130043</v>
      </c>
      <c r="X149" s="279"/>
      <c r="Y149" s="279"/>
      <c r="Z149" s="279"/>
      <c r="AA149" s="279"/>
      <c r="AB149" s="279"/>
      <c r="AC149" s="279"/>
      <c r="AD149" s="279"/>
      <c r="AE149" s="279"/>
      <c r="AF149" s="279"/>
      <c r="AG149" s="279"/>
      <c r="AH149" s="279"/>
      <c r="AI149" s="279"/>
      <c r="AJ149" s="279"/>
      <c r="AK149" s="279"/>
      <c r="AL149" s="279"/>
      <c r="AM149" s="279"/>
      <c r="AN149" s="279"/>
      <c r="AO149" s="279"/>
      <c r="AP149" s="279"/>
    </row>
    <row r="150" spans="1:42">
      <c r="A150" s="227" t="s">
        <v>17</v>
      </c>
      <c r="B150" s="227" t="s">
        <v>128</v>
      </c>
      <c r="C150" s="227" t="s">
        <v>102</v>
      </c>
      <c r="D150" s="227" t="s">
        <v>87</v>
      </c>
      <c r="E150" s="52">
        <v>10.045687245471997</v>
      </c>
      <c r="F150" s="52">
        <v>14.314445147098091</v>
      </c>
      <c r="G150" s="52">
        <v>17.39437632101837</v>
      </c>
      <c r="H150" s="52">
        <f>H133*H$111</f>
        <v>10.770697760876752</v>
      </c>
      <c r="I150" s="52">
        <f t="shared" si="86"/>
        <v>12.920381894767884</v>
      </c>
      <c r="J150" s="52">
        <f t="shared" si="86"/>
        <v>15.305945364434647</v>
      </c>
      <c r="K150" s="52">
        <f t="shared" si="86"/>
        <v>17.76891309591656</v>
      </c>
      <c r="L150" s="297" t="str">
        <f t="shared" ref="L150:L156" si="89">C150</f>
        <v>SUV Priv.Veh. Vehicle km</v>
      </c>
      <c r="M150" s="279">
        <f t="shared" si="87"/>
        <v>9.1553523252275824</v>
      </c>
      <c r="N150" s="279">
        <f t="shared" si="87"/>
        <v>10.770697760876752</v>
      </c>
      <c r="O150" s="279">
        <f t="shared" si="87"/>
        <v>12.920381894767884</v>
      </c>
      <c r="P150" s="279">
        <f t="shared" si="87"/>
        <v>15.305945364434647</v>
      </c>
      <c r="Q150" s="279">
        <f t="shared" si="87"/>
        <v>17.76891309591656</v>
      </c>
      <c r="R150" s="279"/>
      <c r="S150" s="279">
        <f t="shared" si="88"/>
        <v>9.1553523252275824</v>
      </c>
      <c r="T150" s="279">
        <f t="shared" si="88"/>
        <v>9.718852721585769</v>
      </c>
      <c r="U150" s="279">
        <f t="shared" si="88"/>
        <v>9.2801111510095655</v>
      </c>
      <c r="V150" s="279">
        <f t="shared" si="88"/>
        <v>8.6809029952207482</v>
      </c>
      <c r="W150" s="279">
        <f t="shared" si="88"/>
        <v>8.9735507759517894</v>
      </c>
      <c r="X150" s="288"/>
      <c r="Y150" s="279"/>
      <c r="Z150" s="279"/>
      <c r="AA150" s="279"/>
      <c r="AB150" s="279"/>
      <c r="AC150" s="279"/>
      <c r="AD150" s="279"/>
      <c r="AE150" s="279"/>
      <c r="AF150" s="279"/>
      <c r="AG150" s="279"/>
      <c r="AH150" s="279"/>
      <c r="AI150" s="279"/>
      <c r="AJ150" s="279"/>
      <c r="AK150" s="279"/>
      <c r="AL150" s="279"/>
      <c r="AM150" s="279"/>
      <c r="AN150" s="279"/>
      <c r="AO150" s="279"/>
      <c r="AP150" s="279"/>
    </row>
    <row r="151" spans="1:42">
      <c r="A151" s="227" t="s">
        <v>17</v>
      </c>
      <c r="B151" s="227" t="s">
        <v>184</v>
      </c>
      <c r="C151" s="227" t="s">
        <v>188</v>
      </c>
      <c r="D151" s="227" t="s">
        <v>87</v>
      </c>
      <c r="E151" s="52">
        <v>4.7886550612110206</v>
      </c>
      <c r="F151" s="52">
        <v>3.9</v>
      </c>
      <c r="G151" s="52">
        <v>3.4347957884807903</v>
      </c>
      <c r="H151" s="52">
        <f>H134*H$111</f>
        <v>3.6715663247702541</v>
      </c>
      <c r="I151" s="52">
        <f t="shared" si="86"/>
        <v>4.4043608056957968</v>
      </c>
      <c r="J151" s="52">
        <f t="shared" si="86"/>
        <v>5.217562948703252</v>
      </c>
      <c r="K151" s="52">
        <f t="shared" si="86"/>
        <v>6.0571510220732225</v>
      </c>
      <c r="L151" s="297" t="str">
        <f t="shared" si="89"/>
        <v>Motorbikes Priv.Veh. Vehicle km</v>
      </c>
      <c r="M151" s="279">
        <f t="shared" si="87"/>
        <v>3.1209197430841624</v>
      </c>
      <c r="N151" s="279">
        <f t="shared" si="87"/>
        <v>3.6715663247702541</v>
      </c>
      <c r="O151" s="279">
        <f t="shared" si="87"/>
        <v>4.4043608056957968</v>
      </c>
      <c r="P151" s="279">
        <f t="shared" si="87"/>
        <v>5.217562948703252</v>
      </c>
      <c r="Q151" s="279">
        <f t="shared" si="87"/>
        <v>6.0571510220732225</v>
      </c>
      <c r="R151" s="279"/>
      <c r="S151" s="279">
        <f t="shared" si="88"/>
        <v>3.1209197430841624</v>
      </c>
      <c r="T151" s="279">
        <f t="shared" si="88"/>
        <v>3.296507034229291</v>
      </c>
      <c r="U151" s="279">
        <f t="shared" si="88"/>
        <v>3.497435181348032</v>
      </c>
      <c r="V151" s="279">
        <f t="shared" si="88"/>
        <v>3.6805601709100326</v>
      </c>
      <c r="W151" s="279">
        <f t="shared" si="88"/>
        <v>3.8046380193155365</v>
      </c>
      <c r="X151" s="279"/>
      <c r="Y151" s="279"/>
      <c r="Z151" s="279"/>
      <c r="AA151" s="279"/>
      <c r="AB151" s="279"/>
      <c r="AC151" s="279"/>
      <c r="AD151" s="279"/>
      <c r="AE151" s="279"/>
      <c r="AF151" s="279"/>
      <c r="AG151" s="279"/>
      <c r="AH151" s="279"/>
      <c r="AI151" s="279"/>
      <c r="AJ151" s="279"/>
      <c r="AK151" s="279"/>
      <c r="AL151" s="279"/>
      <c r="AM151" s="279"/>
      <c r="AN151" s="279"/>
      <c r="AO151" s="279"/>
      <c r="AP151" s="279"/>
    </row>
    <row r="152" spans="1:42">
      <c r="A152" s="227" t="s">
        <v>17</v>
      </c>
      <c r="B152" s="227" t="s">
        <v>130</v>
      </c>
      <c r="C152" s="227" t="s">
        <v>88</v>
      </c>
      <c r="D152" s="227" t="s">
        <v>87</v>
      </c>
      <c r="E152" s="52">
        <v>0.61799148971758899</v>
      </c>
      <c r="F152" s="52">
        <v>0.65</v>
      </c>
      <c r="G152" s="52">
        <v>0.671544296289739</v>
      </c>
      <c r="H152" s="52">
        <f t="shared" ref="E152:K153" si="90">H137*H$129/H142</f>
        <v>0.69430468678312451</v>
      </c>
      <c r="I152" s="52">
        <f t="shared" si="90"/>
        <v>0.9100232349721401</v>
      </c>
      <c r="J152" s="52">
        <f t="shared" si="90"/>
        <v>0.8006365734939842</v>
      </c>
      <c r="K152" s="52">
        <f t="shared" si="90"/>
        <v>0.60953808896502315</v>
      </c>
      <c r="L152" s="297" t="str">
        <f t="shared" si="89"/>
        <v>Bus vehicle km</v>
      </c>
      <c r="M152" s="279">
        <f t="shared" ref="M152:Q153" si="91">M137*M$129/M142</f>
        <v>0.677349841189678</v>
      </c>
      <c r="N152" s="279">
        <f t="shared" si="91"/>
        <v>0.69430468678312451</v>
      </c>
      <c r="O152" s="279">
        <f t="shared" si="91"/>
        <v>0.9100232349721401</v>
      </c>
      <c r="P152" s="279">
        <f t="shared" si="91"/>
        <v>0.8006365734939842</v>
      </c>
      <c r="Q152" s="279">
        <f t="shared" si="91"/>
        <v>0.60953808896502315</v>
      </c>
      <c r="R152" s="279"/>
      <c r="S152" s="279">
        <f t="shared" ref="S152:W153" si="92">S137*S$129/S142</f>
        <v>0.677349841189678</v>
      </c>
      <c r="T152" s="279">
        <f t="shared" si="92"/>
        <v>0.67771460250414184</v>
      </c>
      <c r="U152" s="279">
        <f t="shared" si="92"/>
        <v>0.85032323732029025</v>
      </c>
      <c r="V152" s="279">
        <f t="shared" si="92"/>
        <v>0.66552911852809638</v>
      </c>
      <c r="W152" s="279">
        <f t="shared" si="92"/>
        <v>0.33894969947533549</v>
      </c>
      <c r="X152" s="279"/>
      <c r="Y152" s="279"/>
      <c r="Z152" s="279"/>
      <c r="AA152" s="279"/>
      <c r="AB152" s="279"/>
      <c r="AC152" s="279"/>
      <c r="AD152" s="279"/>
      <c r="AE152" s="279"/>
      <c r="AF152" s="279"/>
      <c r="AG152" s="279"/>
      <c r="AH152" s="279"/>
      <c r="AI152" s="279"/>
      <c r="AJ152" s="279"/>
      <c r="AK152" s="279"/>
      <c r="AL152" s="279"/>
      <c r="AM152" s="279"/>
      <c r="AN152" s="279"/>
      <c r="AO152" s="279"/>
      <c r="AP152" s="279"/>
    </row>
    <row r="153" spans="1:42">
      <c r="A153" s="227" t="s">
        <v>17</v>
      </c>
      <c r="B153" s="227" t="s">
        <v>131</v>
      </c>
      <c r="C153" s="227" t="s">
        <v>89</v>
      </c>
      <c r="D153" s="227" t="s">
        <v>87</v>
      </c>
      <c r="E153" s="52">
        <f t="shared" si="90"/>
        <v>6.7760046795409954</v>
      </c>
      <c r="F153" s="52">
        <v>6.9</v>
      </c>
      <c r="G153" s="52">
        <v>7.1425530000000004</v>
      </c>
      <c r="H153" s="52">
        <f t="shared" si="90"/>
        <v>7.3002580271819228</v>
      </c>
      <c r="I153" s="52">
        <f t="shared" si="90"/>
        <v>7.5274169357159861</v>
      </c>
      <c r="J153" s="52">
        <f t="shared" si="90"/>
        <v>7.5640861724691559</v>
      </c>
      <c r="K153" s="52">
        <f t="shared" si="90"/>
        <v>7.6657801730735793</v>
      </c>
      <c r="L153" s="297" t="str">
        <f t="shared" si="89"/>
        <v>Minibus vehicle km</v>
      </c>
      <c r="M153" s="279">
        <f t="shared" si="91"/>
        <v>7.1219865132495235</v>
      </c>
      <c r="N153" s="279">
        <f t="shared" si="91"/>
        <v>7.3002580271819228</v>
      </c>
      <c r="O153" s="279">
        <f t="shared" si="91"/>
        <v>7.5274169357159861</v>
      </c>
      <c r="P153" s="279">
        <f t="shared" si="91"/>
        <v>7.5640861724691559</v>
      </c>
      <c r="Q153" s="279">
        <f t="shared" si="91"/>
        <v>7.6657801730735793</v>
      </c>
      <c r="R153" s="279"/>
      <c r="S153" s="279">
        <f t="shared" si="92"/>
        <v>7.1219865132495235</v>
      </c>
      <c r="T153" s="279">
        <f t="shared" si="92"/>
        <v>7.1258217915712887</v>
      </c>
      <c r="U153" s="279">
        <f t="shared" si="92"/>
        <v>7.033597925259075</v>
      </c>
      <c r="V153" s="279">
        <f t="shared" si="92"/>
        <v>6.2876463173110153</v>
      </c>
      <c r="W153" s="279">
        <f t="shared" si="92"/>
        <v>5.2577428355322775</v>
      </c>
      <c r="X153" s="279"/>
      <c r="Y153" s="279"/>
      <c r="Z153" s="279"/>
      <c r="AA153" s="279"/>
      <c r="AB153" s="279"/>
      <c r="AC153" s="279"/>
      <c r="AD153" s="279"/>
      <c r="AE153" s="279"/>
      <c r="AF153" s="279"/>
      <c r="AG153" s="279"/>
      <c r="AH153" s="279"/>
      <c r="AI153" s="279"/>
      <c r="AJ153" s="279"/>
      <c r="AK153" s="279"/>
      <c r="AL153" s="279"/>
      <c r="AM153" s="279"/>
      <c r="AN153" s="279"/>
      <c r="AO153" s="279"/>
      <c r="AP153" s="279"/>
    </row>
    <row r="154" spans="1:42">
      <c r="A154" s="227" t="s">
        <v>17</v>
      </c>
      <c r="B154" s="227" t="s">
        <v>132</v>
      </c>
      <c r="C154" s="227" t="s">
        <v>90</v>
      </c>
      <c r="D154" s="227" t="s">
        <v>87</v>
      </c>
      <c r="E154" s="52">
        <f t="shared" ref="E154:K154" si="93">E$127/E144</f>
        <v>2.2906920429003982E-2</v>
      </c>
      <c r="F154" s="52">
        <f t="shared" si="93"/>
        <v>2.4038015749660205E-2</v>
      </c>
      <c r="G154" s="52">
        <f t="shared" si="93"/>
        <v>2.4835389271761269E-2</v>
      </c>
      <c r="H154" s="52">
        <f t="shared" si="93"/>
        <v>0.21900795555968994</v>
      </c>
      <c r="I154" s="52">
        <f t="shared" si="93"/>
        <v>0.5292279445207515</v>
      </c>
      <c r="J154" s="52">
        <f t="shared" si="93"/>
        <v>1.0239588709688945</v>
      </c>
      <c r="K154" s="52">
        <f t="shared" si="93"/>
        <v>1.5809012908187998</v>
      </c>
      <c r="L154" s="297" t="str">
        <f t="shared" si="89"/>
        <v>BRT vehicle km</v>
      </c>
      <c r="M154" s="279">
        <f>M$127/M144</f>
        <v>2.2906920429003982E-2</v>
      </c>
      <c r="N154" s="279">
        <f>N$127/N144</f>
        <v>0.21900795555968994</v>
      </c>
      <c r="O154" s="279">
        <f>O$127/O144</f>
        <v>0.5292279445207515</v>
      </c>
      <c r="P154" s="279">
        <f>P$127/P144</f>
        <v>1.0239588709688945</v>
      </c>
      <c r="Q154" s="279">
        <f>Q$127/Q144</f>
        <v>1.5809012908187998</v>
      </c>
      <c r="R154" s="279"/>
      <c r="S154" s="279">
        <f>S$127/S144</f>
        <v>2.2906920429003982E-2</v>
      </c>
      <c r="T154" s="279">
        <f>T$127/T144</f>
        <v>0.2085790052949428</v>
      </c>
      <c r="U154" s="279">
        <f>U$127/U144</f>
        <v>0.6661185580781287</v>
      </c>
      <c r="V154" s="279">
        <f>V$127/V144</f>
        <v>1.7553100555917429</v>
      </c>
      <c r="W154" s="279">
        <f>W$127/W144</f>
        <v>3.7021536190636986</v>
      </c>
      <c r="X154" s="279"/>
      <c r="Y154" s="279"/>
      <c r="Z154" s="279"/>
      <c r="AA154" s="279"/>
      <c r="AB154" s="279"/>
      <c r="AC154" s="279"/>
      <c r="AD154" s="279"/>
      <c r="AE154" s="279"/>
      <c r="AF154" s="279"/>
      <c r="AG154" s="279"/>
      <c r="AH154" s="279"/>
      <c r="AI154" s="279"/>
      <c r="AJ154" s="279"/>
      <c r="AK154" s="279"/>
      <c r="AL154" s="279"/>
      <c r="AM154" s="279"/>
      <c r="AN154" s="279"/>
      <c r="AO154" s="279"/>
      <c r="AP154" s="279"/>
    </row>
    <row r="155" spans="1:42">
      <c r="A155" s="227" t="s">
        <v>17</v>
      </c>
      <c r="B155" s="227" t="s">
        <v>133</v>
      </c>
      <c r="C155" s="227" t="s">
        <v>91</v>
      </c>
      <c r="D155" s="227" t="str">
        <f>D154</f>
        <v>billion</v>
      </c>
      <c r="E155" s="52">
        <f t="shared" ref="E155:K155" si="94">E139*E$129</f>
        <v>16.476318403814556</v>
      </c>
      <c r="F155" s="52">
        <f t="shared" si="94"/>
        <v>17.636861333338672</v>
      </c>
      <c r="G155" s="52">
        <f t="shared" si="94"/>
        <v>17.823963957682881</v>
      </c>
      <c r="H155" s="52">
        <f t="shared" si="94"/>
        <v>17.751076242468041</v>
      </c>
      <c r="I155" s="52">
        <f t="shared" si="94"/>
        <v>13.450574262498447</v>
      </c>
      <c r="J155" s="52">
        <f t="shared" si="94"/>
        <v>16.361591962113614</v>
      </c>
      <c r="K155" s="52">
        <f t="shared" si="94"/>
        <v>21.628124937733357</v>
      </c>
      <c r="L155" s="297" t="str">
        <f t="shared" si="89"/>
        <v>Metro Rail pkm</v>
      </c>
      <c r="M155" s="279">
        <f>M139*M$129</f>
        <v>17.317596874493457</v>
      </c>
      <c r="N155" s="279">
        <f>N139*N$129</f>
        <v>17.751076242468041</v>
      </c>
      <c r="O155" s="279">
        <f>O139*O$129</f>
        <v>13.450574262498447</v>
      </c>
      <c r="P155" s="279">
        <f>P139*P$129</f>
        <v>16.361591962113614</v>
      </c>
      <c r="Q155" s="279">
        <f>Q139*Q$129</f>
        <v>21.628124937733357</v>
      </c>
      <c r="R155" s="279"/>
      <c r="S155" s="279">
        <f>S139*S$129</f>
        <v>17.317596874493457</v>
      </c>
      <c r="T155" s="279">
        <f>T139*T$129</f>
        <v>18.193268746599813</v>
      </c>
      <c r="U155" s="279">
        <f>U139*U$129</f>
        <v>13.85641848560924</v>
      </c>
      <c r="V155" s="279">
        <f>V139*V$129</f>
        <v>15.744362902692641</v>
      </c>
      <c r="W155" s="279">
        <f>W139*W$129</f>
        <v>19.461997317884332</v>
      </c>
      <c r="X155" s="279"/>
      <c r="Y155" s="279"/>
      <c r="Z155" s="279"/>
      <c r="AA155" s="279"/>
      <c r="AB155" s="279"/>
      <c r="AC155" s="279"/>
      <c r="AD155" s="279"/>
      <c r="AE155" s="279"/>
      <c r="AF155" s="279"/>
      <c r="AG155" s="279"/>
      <c r="AH155" s="279"/>
      <c r="AI155" s="279"/>
      <c r="AJ155" s="279"/>
      <c r="AK155" s="279"/>
      <c r="AL155" s="279"/>
      <c r="AM155" s="279"/>
      <c r="AN155" s="279"/>
      <c r="AO155" s="279"/>
      <c r="AP155" s="279"/>
    </row>
    <row r="156" spans="1:42">
      <c r="A156" s="227" t="s">
        <v>17</v>
      </c>
      <c r="B156" s="227" t="s">
        <v>134</v>
      </c>
      <c r="C156" s="227" t="s">
        <v>92</v>
      </c>
      <c r="D156" s="227" t="s">
        <v>87</v>
      </c>
      <c r="E156" s="52">
        <f t="shared" ref="E156:K156" si="95">E128</f>
        <v>0.61971821350573497</v>
      </c>
      <c r="F156" s="52">
        <f t="shared" si="95"/>
        <v>0.65899656287368868</v>
      </c>
      <c r="G156" s="52">
        <f t="shared" si="95"/>
        <v>0.68751914380675005</v>
      </c>
      <c r="H156" s="52">
        <f t="shared" si="95"/>
        <v>0.73142817808853577</v>
      </c>
      <c r="I156" s="52">
        <f t="shared" si="95"/>
        <v>0.88344238904657568</v>
      </c>
      <c r="J156" s="52">
        <f t="shared" si="95"/>
        <v>1.0536429287304157</v>
      </c>
      <c r="K156" s="52">
        <f t="shared" si="95"/>
        <v>1.2274010452801494</v>
      </c>
      <c r="L156" s="297" t="str">
        <f t="shared" si="89"/>
        <v>Gautrain pkm</v>
      </c>
      <c r="M156" s="279">
        <f>M128</f>
        <v>0.61971821350573497</v>
      </c>
      <c r="N156" s="279">
        <f>N128</f>
        <v>0.73142817808853577</v>
      </c>
      <c r="O156" s="279">
        <f>O128</f>
        <v>0.88344238904657568</v>
      </c>
      <c r="P156" s="279">
        <f>P128</f>
        <v>1.0536429287304157</v>
      </c>
      <c r="Q156" s="279">
        <f>Q128</f>
        <v>1.2274010452801494</v>
      </c>
      <c r="R156" s="279"/>
      <c r="S156" s="279">
        <f>S128</f>
        <v>0.61971821350573497</v>
      </c>
      <c r="T156" s="279">
        <f>T128</f>
        <v>0.73142817808853577</v>
      </c>
      <c r="U156" s="279">
        <f>U128</f>
        <v>2.6085476831656695</v>
      </c>
      <c r="V156" s="279">
        <f>V128</f>
        <v>7.6112887964613991</v>
      </c>
      <c r="W156" s="279">
        <f>W128</f>
        <v>14.102945285688985</v>
      </c>
      <c r="X156" s="279"/>
      <c r="Y156" s="279"/>
      <c r="Z156" s="279"/>
      <c r="AA156" s="279"/>
      <c r="AB156" s="279"/>
      <c r="AC156" s="279"/>
      <c r="AD156" s="279"/>
      <c r="AE156" s="279"/>
      <c r="AF156" s="279"/>
      <c r="AG156" s="279"/>
      <c r="AH156" s="279"/>
      <c r="AI156" s="279"/>
      <c r="AJ156" s="279"/>
      <c r="AK156" s="279"/>
      <c r="AL156" s="279"/>
      <c r="AM156" s="279"/>
      <c r="AN156" s="279"/>
      <c r="AO156" s="279"/>
      <c r="AP156" s="279"/>
    </row>
    <row r="157" spans="1:42">
      <c r="A157" s="227" t="s">
        <v>17</v>
      </c>
    </row>
    <row r="158" spans="1:42">
      <c r="A158" s="227" t="s">
        <v>17</v>
      </c>
    </row>
    <row r="159" spans="1:42">
      <c r="A159" s="227" t="s">
        <v>17</v>
      </c>
      <c r="E159" s="296"/>
      <c r="M159" s="227" t="s">
        <v>42</v>
      </c>
      <c r="S159" s="227" t="s">
        <v>198</v>
      </c>
    </row>
    <row r="160" spans="1:42" ht="15" thickBot="1">
      <c r="A160" s="227" t="s">
        <v>17</v>
      </c>
      <c r="C160" s="273" t="s">
        <v>142</v>
      </c>
      <c r="D160" s="273"/>
      <c r="E160" s="7">
        <v>2012</v>
      </c>
      <c r="F160" s="7">
        <f>F4</f>
        <v>2015</v>
      </c>
      <c r="G160" s="7">
        <f>G4</f>
        <v>2017</v>
      </c>
      <c r="H160" s="7">
        <v>2020</v>
      </c>
      <c r="I160" s="7">
        <v>2030</v>
      </c>
      <c r="J160" s="7">
        <v>2040</v>
      </c>
      <c r="K160" s="7">
        <v>2050</v>
      </c>
      <c r="L160" s="227"/>
      <c r="M160" s="227">
        <f>F160</f>
        <v>2015</v>
      </c>
      <c r="N160" s="227">
        <f>H160</f>
        <v>2020</v>
      </c>
      <c r="O160" s="227">
        <f>I160</f>
        <v>2030</v>
      </c>
      <c r="P160" s="227">
        <v>2040</v>
      </c>
      <c r="Q160" s="227">
        <f>K160</f>
        <v>2050</v>
      </c>
      <c r="S160" s="227">
        <f>M160</f>
        <v>2015</v>
      </c>
      <c r="T160" s="227">
        <f>N160</f>
        <v>2020</v>
      </c>
      <c r="U160" s="227">
        <f>O160</f>
        <v>2030</v>
      </c>
      <c r="V160" s="227">
        <v>2040</v>
      </c>
      <c r="W160" s="227">
        <f>Q160</f>
        <v>2050</v>
      </c>
    </row>
    <row r="161" spans="1:25">
      <c r="A161" s="227" t="s">
        <v>17</v>
      </c>
      <c r="B161" s="227" t="s">
        <v>129</v>
      </c>
      <c r="C161" s="227" t="s">
        <v>101</v>
      </c>
      <c r="D161" s="227" t="s">
        <v>87</v>
      </c>
      <c r="E161" s="52">
        <f t="shared" ref="E161:Q163" si="96">SUMPRODUCT(E$35:E$38,E$41:E$44,E$54:E$57)*E132</f>
        <v>131.94803455429781</v>
      </c>
      <c r="F161" s="52">
        <f>SUMPRODUCT(F$35:F$38,F$41:F$44,F$54:F$57)*F132</f>
        <v>111.62975925903054</v>
      </c>
      <c r="G161" s="52">
        <f>SUMPRODUCT(G$35:G$38,G$41:G$44,G$54:G$57)*G132</f>
        <v>131.32541003205617</v>
      </c>
      <c r="H161" s="52">
        <f t="shared" si="96"/>
        <v>131.32541003205617</v>
      </c>
      <c r="I161" s="52">
        <f t="shared" si="96"/>
        <v>157.53616782976434</v>
      </c>
      <c r="J161" s="52">
        <f t="shared" si="96"/>
        <v>186.62296496833531</v>
      </c>
      <c r="K161" s="52">
        <f t="shared" si="96"/>
        <v>216.65353999825388</v>
      </c>
      <c r="L161" s="227" t="str">
        <f t="shared" ref="L161:L168" si="97">C161</f>
        <v>Car</v>
      </c>
      <c r="M161" s="10">
        <f t="shared" si="96"/>
        <v>111.62975925903054</v>
      </c>
      <c r="N161" s="10">
        <f t="shared" si="96"/>
        <v>131.32541003205617</v>
      </c>
      <c r="O161" s="10">
        <f t="shared" si="96"/>
        <v>157.53616782976434</v>
      </c>
      <c r="P161" s="10">
        <f t="shared" si="96"/>
        <v>186.62296496833531</v>
      </c>
      <c r="Q161" s="10">
        <f t="shared" si="96"/>
        <v>216.65353999825388</v>
      </c>
      <c r="S161" s="10">
        <f t="shared" ref="S161:W163" si="98">SUMPRODUCT(S$35:S$38,S$41:S$44,S$54:S$57)*S132</f>
        <v>111.62975925903054</v>
      </c>
      <c r="T161" s="10">
        <f t="shared" si="98"/>
        <v>120.78849530516113</v>
      </c>
      <c r="U161" s="10">
        <f t="shared" si="98"/>
        <v>132.87119864107342</v>
      </c>
      <c r="V161" s="10">
        <f t="shared" si="98"/>
        <v>144.9599820986891</v>
      </c>
      <c r="W161" s="10">
        <f t="shared" si="98"/>
        <v>153.59299655505879</v>
      </c>
    </row>
    <row r="162" spans="1:25">
      <c r="A162" s="227" t="s">
        <v>17</v>
      </c>
      <c r="B162" s="227" t="s">
        <v>128</v>
      </c>
      <c r="C162" s="227" t="s">
        <v>100</v>
      </c>
      <c r="D162" s="227" t="s">
        <v>87</v>
      </c>
      <c r="E162" s="52">
        <f t="shared" si="96"/>
        <v>15.150467529252889</v>
      </c>
      <c r="F162" s="52">
        <f t="shared" si="96"/>
        <v>12.817493255318613</v>
      </c>
      <c r="G162" s="52">
        <f t="shared" si="96"/>
        <v>15.078976865227451</v>
      </c>
      <c r="H162" s="52">
        <f t="shared" si="96"/>
        <v>15.078976865227451</v>
      </c>
      <c r="I162" s="52">
        <f t="shared" si="96"/>
        <v>18.088534652675033</v>
      </c>
      <c r="J162" s="52">
        <f t="shared" si="96"/>
        <v>21.428323510208507</v>
      </c>
      <c r="K162" s="52">
        <f t="shared" si="96"/>
        <v>24.876478334283181</v>
      </c>
      <c r="L162" s="227" t="str">
        <f t="shared" si="97"/>
        <v>SUV</v>
      </c>
      <c r="M162" s="10">
        <f t="shared" si="96"/>
        <v>12.817493255318613</v>
      </c>
      <c r="N162" s="10">
        <f t="shared" si="96"/>
        <v>15.078976865227451</v>
      </c>
      <c r="O162" s="10">
        <f t="shared" si="96"/>
        <v>18.088534652675033</v>
      </c>
      <c r="P162" s="10">
        <f t="shared" si="96"/>
        <v>21.428323510208507</v>
      </c>
      <c r="Q162" s="10">
        <f t="shared" si="96"/>
        <v>24.876478334283181</v>
      </c>
      <c r="S162" s="10">
        <f t="shared" si="98"/>
        <v>12.817493255318613</v>
      </c>
      <c r="T162" s="10">
        <f t="shared" si="98"/>
        <v>13.946553655475576</v>
      </c>
      <c r="U162" s="10">
        <f t="shared" si="98"/>
        <v>13.649883489241191</v>
      </c>
      <c r="V162" s="10">
        <f t="shared" si="98"/>
        <v>13.087736272922701</v>
      </c>
      <c r="W162" s="10">
        <f t="shared" si="98"/>
        <v>13.867169429642978</v>
      </c>
      <c r="X162" s="288">
        <f>O162/O169</f>
        <v>5.3597255690509285E-2</v>
      </c>
      <c r="Y162" s="288">
        <f>U162/U169</f>
        <v>4.2858008392052581E-2</v>
      </c>
    </row>
    <row r="163" spans="1:25">
      <c r="A163" s="227" t="s">
        <v>17</v>
      </c>
      <c r="B163" s="227" t="s">
        <v>184</v>
      </c>
      <c r="C163" s="227" t="s">
        <v>213</v>
      </c>
      <c r="D163" s="227" t="s">
        <v>87</v>
      </c>
      <c r="E163" s="52">
        <f t="shared" si="96"/>
        <v>5.1645629298952738</v>
      </c>
      <c r="F163" s="52">
        <f t="shared" si="96"/>
        <v>4.3692876403178262</v>
      </c>
      <c r="G163" s="52">
        <f t="shared" si="96"/>
        <v>5.1401928546783555</v>
      </c>
      <c r="H163" s="52">
        <f t="shared" si="96"/>
        <v>5.1401928546783555</v>
      </c>
      <c r="I163" s="52">
        <f t="shared" si="96"/>
        <v>6.1661051279741148</v>
      </c>
      <c r="J163" s="52">
        <f t="shared" si="96"/>
        <v>7.3045881281845535</v>
      </c>
      <c r="K163" s="52">
        <f t="shared" si="96"/>
        <v>8.480011430902513</v>
      </c>
      <c r="L163" s="227" t="str">
        <f t="shared" si="97"/>
        <v>Motorbike</v>
      </c>
      <c r="M163" s="10">
        <f t="shared" si="96"/>
        <v>4.3692876403178262</v>
      </c>
      <c r="N163" s="10">
        <f t="shared" si="96"/>
        <v>5.1401928546783555</v>
      </c>
      <c r="O163" s="10">
        <f t="shared" si="96"/>
        <v>6.1661051279741148</v>
      </c>
      <c r="P163" s="10">
        <f t="shared" si="96"/>
        <v>7.3045881281845535</v>
      </c>
      <c r="Q163" s="10">
        <f t="shared" si="96"/>
        <v>8.480011430902513</v>
      </c>
      <c r="S163" s="10">
        <f t="shared" si="98"/>
        <v>4.3692876403178262</v>
      </c>
      <c r="T163" s="10">
        <f t="shared" si="98"/>
        <v>4.7304875941190323</v>
      </c>
      <c r="U163" s="10">
        <f t="shared" si="98"/>
        <v>5.1442899723652848</v>
      </c>
      <c r="V163" s="10">
        <f t="shared" si="98"/>
        <v>5.5489850399219769</v>
      </c>
      <c r="W163" s="10">
        <f t="shared" si="98"/>
        <v>5.8794518858354383</v>
      </c>
    </row>
    <row r="164" spans="1:25">
      <c r="A164" s="227" t="s">
        <v>17</v>
      </c>
      <c r="B164" s="227" t="s">
        <v>130</v>
      </c>
      <c r="C164" s="227" t="s">
        <v>63</v>
      </c>
      <c r="D164" s="227" t="s">
        <v>87</v>
      </c>
      <c r="E164" s="53">
        <f t="shared" ref="E164:W166" si="99">E152*E142</f>
        <v>15.449787242939724</v>
      </c>
      <c r="F164" s="53">
        <f t="shared" si="99"/>
        <v>16.25</v>
      </c>
      <c r="G164" s="53">
        <f t="shared" si="99"/>
        <v>16.788607407243475</v>
      </c>
      <c r="H164" s="53">
        <f t="shared" si="99"/>
        <v>17.357617169578113</v>
      </c>
      <c r="I164" s="53">
        <f t="shared" si="99"/>
        <v>22.750580874303502</v>
      </c>
      <c r="J164" s="53">
        <f t="shared" si="99"/>
        <v>20.015914337349606</v>
      </c>
      <c r="K164" s="53">
        <f t="shared" si="99"/>
        <v>15.238452224125579</v>
      </c>
      <c r="L164" s="227" t="str">
        <f t="shared" si="97"/>
        <v>Bus</v>
      </c>
      <c r="M164" s="10">
        <f t="shared" si="99"/>
        <v>16.93374602974195</v>
      </c>
      <c r="N164" s="10">
        <f t="shared" si="99"/>
        <v>17.357617169578113</v>
      </c>
      <c r="O164" s="10">
        <f t="shared" si="99"/>
        <v>22.750580874303502</v>
      </c>
      <c r="P164" s="10">
        <f t="shared" si="99"/>
        <v>20.015914337349606</v>
      </c>
      <c r="Q164" s="10">
        <f t="shared" si="99"/>
        <v>15.238452224125579</v>
      </c>
      <c r="S164" s="10">
        <f t="shared" si="99"/>
        <v>16.93374602974195</v>
      </c>
      <c r="T164" s="10">
        <f t="shared" si="99"/>
        <v>17.790008315733722</v>
      </c>
      <c r="U164" s="10">
        <f t="shared" si="99"/>
        <v>23.437034228640499</v>
      </c>
      <c r="V164" s="10">
        <f t="shared" si="99"/>
        <v>19.26082864590219</v>
      </c>
      <c r="W164" s="10">
        <f t="shared" si="99"/>
        <v>9.809416146378382</v>
      </c>
    </row>
    <row r="165" spans="1:25">
      <c r="A165" s="227" t="s">
        <v>17</v>
      </c>
      <c r="B165" s="227" t="s">
        <v>131</v>
      </c>
      <c r="C165" s="227" t="s">
        <v>62</v>
      </c>
      <c r="D165" s="227" t="s">
        <v>87</v>
      </c>
      <c r="E165" s="53">
        <f t="shared" si="99"/>
        <v>94.864065513573934</v>
      </c>
      <c r="F165" s="53">
        <f t="shared" si="99"/>
        <v>96.600000000000009</v>
      </c>
      <c r="G165" s="53">
        <f t="shared" si="99"/>
        <v>99.995742000000007</v>
      </c>
      <c r="H165" s="53">
        <f t="shared" si="99"/>
        <v>102.20361238054691</v>
      </c>
      <c r="I165" s="53">
        <f t="shared" si="99"/>
        <v>105.38383710002381</v>
      </c>
      <c r="J165" s="52">
        <f t="shared" si="99"/>
        <v>105.89720641456819</v>
      </c>
      <c r="K165" s="53">
        <f t="shared" si="99"/>
        <v>107.32092242303011</v>
      </c>
      <c r="L165" s="227" t="str">
        <f t="shared" si="97"/>
        <v>Minibus</v>
      </c>
      <c r="M165" s="10">
        <f t="shared" si="99"/>
        <v>99.707811185493327</v>
      </c>
      <c r="N165" s="10">
        <f t="shared" si="99"/>
        <v>102.20361238054691</v>
      </c>
      <c r="O165" s="10">
        <f t="shared" si="99"/>
        <v>105.38383710002381</v>
      </c>
      <c r="P165" s="10">
        <f t="shared" si="99"/>
        <v>105.89720641456819</v>
      </c>
      <c r="Q165" s="10">
        <f t="shared" si="99"/>
        <v>107.32092242303011</v>
      </c>
      <c r="S165" s="10">
        <f t="shared" si="99"/>
        <v>99.707811185493327</v>
      </c>
      <c r="T165" s="10">
        <f t="shared" si="99"/>
        <v>104.74958033609795</v>
      </c>
      <c r="U165" s="10">
        <f t="shared" si="99"/>
        <v>108.56358397637383</v>
      </c>
      <c r="V165" s="10">
        <f t="shared" si="99"/>
        <v>101.90231195308031</v>
      </c>
      <c r="W165" s="10">
        <f t="shared" si="99"/>
        <v>85.210923699762759</v>
      </c>
    </row>
    <row r="166" spans="1:25">
      <c r="A166" s="227" t="s">
        <v>17</v>
      </c>
      <c r="B166" s="227" t="s">
        <v>132</v>
      </c>
      <c r="C166" s="227" t="s">
        <v>64</v>
      </c>
      <c r="D166" s="227" t="s">
        <v>87</v>
      </c>
      <c r="E166" s="53">
        <f t="shared" si="99"/>
        <v>0.57267301072509957</v>
      </c>
      <c r="F166" s="53">
        <f t="shared" si="99"/>
        <v>0.60095039374150516</v>
      </c>
      <c r="G166" s="53">
        <f t="shared" si="99"/>
        <v>0.6208847317940317</v>
      </c>
      <c r="H166" s="53">
        <f t="shared" si="99"/>
        <v>5.4751988889922485</v>
      </c>
      <c r="I166" s="53">
        <f t="shared" si="99"/>
        <v>13.230698613018788</v>
      </c>
      <c r="J166" s="53">
        <f t="shared" si="99"/>
        <v>25.598971774222363</v>
      </c>
      <c r="K166" s="53">
        <f t="shared" si="99"/>
        <v>39.522532270469995</v>
      </c>
      <c r="L166" s="227" t="str">
        <f t="shared" si="97"/>
        <v>BRT</v>
      </c>
      <c r="M166" s="10">
        <f t="shared" si="99"/>
        <v>0.57267301072509957</v>
      </c>
      <c r="N166" s="10">
        <f t="shared" si="99"/>
        <v>5.4751988889922485</v>
      </c>
      <c r="O166" s="10">
        <f t="shared" si="99"/>
        <v>13.230698613018788</v>
      </c>
      <c r="P166" s="10">
        <f t="shared" si="99"/>
        <v>25.598971774222363</v>
      </c>
      <c r="Q166" s="10">
        <f t="shared" si="99"/>
        <v>39.522532270469995</v>
      </c>
      <c r="S166" s="10">
        <f t="shared" si="99"/>
        <v>0.57267301072509957</v>
      </c>
      <c r="T166" s="10">
        <f t="shared" si="99"/>
        <v>5.4751988889922485</v>
      </c>
      <c r="U166" s="10">
        <f t="shared" si="99"/>
        <v>18.359892757028422</v>
      </c>
      <c r="V166" s="10">
        <f t="shared" si="99"/>
        <v>50.799770077609786</v>
      </c>
      <c r="W166" s="10">
        <f t="shared" si="99"/>
        <v>107.14263958171536</v>
      </c>
    </row>
    <row r="167" spans="1:25">
      <c r="A167" s="227" t="s">
        <v>17</v>
      </c>
      <c r="B167" s="227" t="s">
        <v>133</v>
      </c>
      <c r="C167" s="227" t="s">
        <v>86</v>
      </c>
      <c r="D167" s="227" t="str">
        <f>D166</f>
        <v>billion</v>
      </c>
      <c r="E167" s="52">
        <f t="shared" ref="E167:U168" si="100">E155</f>
        <v>16.476318403814556</v>
      </c>
      <c r="F167" s="52">
        <f t="shared" si="100"/>
        <v>17.636861333338672</v>
      </c>
      <c r="G167" s="52">
        <f t="shared" si="100"/>
        <v>17.823963957682881</v>
      </c>
      <c r="H167" s="52">
        <f t="shared" si="100"/>
        <v>17.751076242468041</v>
      </c>
      <c r="I167" s="52">
        <f t="shared" si="100"/>
        <v>13.450574262498447</v>
      </c>
      <c r="J167" s="52">
        <f t="shared" si="100"/>
        <v>16.361591962113614</v>
      </c>
      <c r="K167" s="52">
        <f t="shared" si="100"/>
        <v>21.628124937733357</v>
      </c>
      <c r="L167" s="227" t="str">
        <f t="shared" si="97"/>
        <v>Metro Rail</v>
      </c>
      <c r="M167" s="10">
        <f t="shared" si="100"/>
        <v>17.317596874493457</v>
      </c>
      <c r="N167" s="10">
        <f t="shared" si="100"/>
        <v>17.751076242468041</v>
      </c>
      <c r="O167" s="10">
        <f t="shared" si="100"/>
        <v>13.450574262498447</v>
      </c>
      <c r="P167" s="10">
        <f t="shared" si="100"/>
        <v>16.361591962113614</v>
      </c>
      <c r="Q167" s="10">
        <f t="shared" si="100"/>
        <v>21.628124937733357</v>
      </c>
      <c r="S167" s="10">
        <f t="shared" si="100"/>
        <v>17.317596874493457</v>
      </c>
      <c r="T167" s="10">
        <f t="shared" si="100"/>
        <v>18.193268746599813</v>
      </c>
      <c r="U167" s="10">
        <f t="shared" si="100"/>
        <v>13.85641848560924</v>
      </c>
      <c r="V167" s="10">
        <f>V155</f>
        <v>15.744362902692641</v>
      </c>
      <c r="W167" s="10">
        <f>W155</f>
        <v>19.461997317884332</v>
      </c>
    </row>
    <row r="168" spans="1:25">
      <c r="A168" s="227" t="s">
        <v>17</v>
      </c>
      <c r="B168" s="227" t="s">
        <v>134</v>
      </c>
      <c r="C168" s="227" t="s">
        <v>83</v>
      </c>
      <c r="D168" s="227" t="s">
        <v>87</v>
      </c>
      <c r="E168" s="52">
        <f t="shared" si="100"/>
        <v>0.61971821350573497</v>
      </c>
      <c r="F168" s="52">
        <f t="shared" si="100"/>
        <v>0.65899656287368868</v>
      </c>
      <c r="G168" s="52">
        <f t="shared" si="100"/>
        <v>0.68751914380675005</v>
      </c>
      <c r="H168" s="52">
        <f t="shared" si="100"/>
        <v>0.73142817808853577</v>
      </c>
      <c r="I168" s="52">
        <f t="shared" si="100"/>
        <v>0.88344238904657568</v>
      </c>
      <c r="J168" s="52">
        <f t="shared" si="100"/>
        <v>1.0536429287304157</v>
      </c>
      <c r="K168" s="52">
        <f t="shared" si="100"/>
        <v>1.2274010452801494</v>
      </c>
      <c r="L168" s="227" t="str">
        <f t="shared" si="97"/>
        <v>Gautrain</v>
      </c>
      <c r="M168" s="10">
        <f t="shared" si="100"/>
        <v>0.61971821350573497</v>
      </c>
      <c r="N168" s="10">
        <f t="shared" si="100"/>
        <v>0.73142817808853577</v>
      </c>
      <c r="O168" s="10">
        <f t="shared" si="100"/>
        <v>0.88344238904657568</v>
      </c>
      <c r="P168" s="10">
        <f t="shared" si="100"/>
        <v>1.0536429287304157</v>
      </c>
      <c r="Q168" s="10">
        <f t="shared" si="100"/>
        <v>1.2274010452801494</v>
      </c>
      <c r="S168" s="10">
        <f t="shared" si="100"/>
        <v>0.61971821350573497</v>
      </c>
      <c r="T168" s="10">
        <f t="shared" si="100"/>
        <v>0.73142817808853577</v>
      </c>
      <c r="U168" s="10">
        <f t="shared" si="100"/>
        <v>2.6085476831656695</v>
      </c>
      <c r="V168" s="10">
        <f>V156</f>
        <v>7.6112887964613991</v>
      </c>
      <c r="W168" s="10">
        <f>W156</f>
        <v>14.102945285688985</v>
      </c>
    </row>
    <row r="169" spans="1:25">
      <c r="A169" s="227" t="s">
        <v>17</v>
      </c>
      <c r="C169" s="5" t="s">
        <v>6</v>
      </c>
      <c r="E169" s="10">
        <f t="shared" ref="E169:W169" si="101">SUM(E161:E168)</f>
        <v>280.24562739800507</v>
      </c>
      <c r="F169" s="10">
        <f t="shared" si="101"/>
        <v>260.56334844462083</v>
      </c>
      <c r="G169" s="10">
        <f t="shared" si="101"/>
        <v>287.46129699248917</v>
      </c>
      <c r="H169" s="10">
        <f t="shared" si="101"/>
        <v>295.06351261163582</v>
      </c>
      <c r="I169" s="10">
        <f t="shared" si="101"/>
        <v>337.48994084930462</v>
      </c>
      <c r="J169" s="10">
        <f t="shared" si="101"/>
        <v>384.28320402371259</v>
      </c>
      <c r="K169" s="10">
        <f t="shared" si="101"/>
        <v>434.94746266407867</v>
      </c>
      <c r="L169" s="40"/>
      <c r="M169" s="10">
        <f t="shared" si="101"/>
        <v>263.96808546862655</v>
      </c>
      <c r="N169" s="10">
        <f t="shared" si="101"/>
        <v>295.06351261163582</v>
      </c>
      <c r="O169" s="10">
        <f t="shared" si="101"/>
        <v>337.48994084930462</v>
      </c>
      <c r="P169" s="10">
        <f t="shared" si="101"/>
        <v>384.28320402371259</v>
      </c>
      <c r="Q169" s="10">
        <f t="shared" si="101"/>
        <v>434.94746266407867</v>
      </c>
      <c r="S169" s="10">
        <f t="shared" si="101"/>
        <v>263.96808546862655</v>
      </c>
      <c r="T169" s="10">
        <f t="shared" si="101"/>
        <v>286.40502102026801</v>
      </c>
      <c r="U169" s="10">
        <f t="shared" si="101"/>
        <v>318.49084923349756</v>
      </c>
      <c r="V169" s="10">
        <f t="shared" si="101"/>
        <v>358.91526578728008</v>
      </c>
      <c r="W169" s="10">
        <f t="shared" si="101"/>
        <v>409.067539901967</v>
      </c>
    </row>
    <row r="170" spans="1:25">
      <c r="A170" s="227" t="s">
        <v>17</v>
      </c>
    </row>
    <row r="171" spans="1:25" ht="15" thickBot="1">
      <c r="A171" s="227" t="s">
        <v>17</v>
      </c>
      <c r="C171" s="273" t="s">
        <v>144</v>
      </c>
      <c r="D171" s="273"/>
      <c r="E171" s="7">
        <v>2012</v>
      </c>
      <c r="F171" s="7">
        <f>F4</f>
        <v>2015</v>
      </c>
      <c r="G171" s="7">
        <f>G4</f>
        <v>2017</v>
      </c>
      <c r="H171" s="7">
        <v>2020</v>
      </c>
      <c r="I171" s="7">
        <v>2030</v>
      </c>
      <c r="J171" s="7">
        <v>2040</v>
      </c>
      <c r="K171" s="7">
        <v>2050</v>
      </c>
      <c r="M171" s="227">
        <f>F171</f>
        <v>2015</v>
      </c>
      <c r="N171" s="227">
        <f>H171</f>
        <v>2020</v>
      </c>
      <c r="O171" s="227">
        <f>I171</f>
        <v>2030</v>
      </c>
      <c r="P171" s="227">
        <v>2040</v>
      </c>
      <c r="Q171" s="227">
        <f>K171</f>
        <v>2050</v>
      </c>
      <c r="S171" s="227">
        <f>M171</f>
        <v>2015</v>
      </c>
      <c r="T171" s="227">
        <f>N171</f>
        <v>2020</v>
      </c>
      <c r="U171" s="227">
        <f>O171</f>
        <v>2030</v>
      </c>
      <c r="V171" s="227">
        <v>2040</v>
      </c>
      <c r="W171" s="227">
        <f>Q171</f>
        <v>2050</v>
      </c>
    </row>
    <row r="172" spans="1:25">
      <c r="A172" s="227" t="s">
        <v>17</v>
      </c>
      <c r="B172" s="227" t="str">
        <f t="shared" ref="B172:C179" si="102">B161</f>
        <v>TPPRCAR</v>
      </c>
      <c r="C172" s="227" t="str">
        <f t="shared" si="102"/>
        <v>Car</v>
      </c>
      <c r="E172" s="288">
        <f t="shared" ref="E172:K179" si="103">E161/E$169</f>
        <v>0.47082994935334033</v>
      </c>
      <c r="F172" s="288">
        <f t="shared" si="103"/>
        <v>0.4284169662593813</v>
      </c>
      <c r="G172" s="288">
        <f t="shared" si="103"/>
        <v>0.45684553505471542</v>
      </c>
      <c r="H172" s="288">
        <f t="shared" si="103"/>
        <v>0.44507505814487941</v>
      </c>
      <c r="I172" s="288">
        <f t="shared" si="103"/>
        <v>0.46678774316449062</v>
      </c>
      <c r="J172" s="288">
        <f t="shared" si="103"/>
        <v>0.4856391406500804</v>
      </c>
      <c r="K172" s="288">
        <f t="shared" si="103"/>
        <v>0.49811427493159349</v>
      </c>
      <c r="L172" s="41" t="str">
        <f>C172</f>
        <v>Car</v>
      </c>
      <c r="M172" s="288">
        <f t="shared" ref="M172:Q179" si="104">M161/M$169</f>
        <v>0.42289111981417193</v>
      </c>
      <c r="N172" s="288">
        <f t="shared" si="104"/>
        <v>0.44507505814487941</v>
      </c>
      <c r="O172" s="288">
        <f t="shared" si="104"/>
        <v>0.46678774316449062</v>
      </c>
      <c r="P172" s="288">
        <f t="shared" si="104"/>
        <v>0.4856391406500804</v>
      </c>
      <c r="Q172" s="288">
        <f t="shared" si="104"/>
        <v>0.49811427493159349</v>
      </c>
      <c r="R172" s="10"/>
      <c r="S172" s="288">
        <f t="shared" ref="S172:W179" si="105">S161/S$169</f>
        <v>0.42289111981417193</v>
      </c>
      <c r="T172" s="288">
        <f t="shared" si="105"/>
        <v>0.4217401457379244</v>
      </c>
      <c r="U172" s="288">
        <f t="shared" si="105"/>
        <v>0.41719000392272049</v>
      </c>
      <c r="V172" s="288">
        <f t="shared" si="105"/>
        <v>0.40388357898547333</v>
      </c>
      <c r="W172" s="288">
        <f t="shared" si="105"/>
        <v>0.37547099579660448</v>
      </c>
    </row>
    <row r="173" spans="1:25">
      <c r="A173" s="227" t="s">
        <v>17</v>
      </c>
      <c r="B173" s="227" t="str">
        <f t="shared" si="102"/>
        <v>TPPRSUV</v>
      </c>
      <c r="C173" s="227" t="str">
        <f t="shared" si="102"/>
        <v>SUV</v>
      </c>
      <c r="E173" s="288">
        <f t="shared" si="103"/>
        <v>5.4061387754450789E-2</v>
      </c>
      <c r="F173" s="288">
        <f t="shared" si="103"/>
        <v>4.9191466611977458E-2</v>
      </c>
      <c r="G173" s="288">
        <f t="shared" si="103"/>
        <v>5.2455676722356945E-2</v>
      </c>
      <c r="H173" s="288">
        <f t="shared" si="103"/>
        <v>5.1104173239727144E-2</v>
      </c>
      <c r="I173" s="288">
        <f t="shared" si="103"/>
        <v>5.3597255690509285E-2</v>
      </c>
      <c r="J173" s="288">
        <f t="shared" si="103"/>
        <v>5.5761800895378841E-2</v>
      </c>
      <c r="K173" s="288">
        <f t="shared" si="103"/>
        <v>5.7194214174542589E-2</v>
      </c>
      <c r="M173" s="288">
        <f t="shared" si="104"/>
        <v>4.8556980790172122E-2</v>
      </c>
      <c r="N173" s="288">
        <f t="shared" si="104"/>
        <v>5.1104173239727144E-2</v>
      </c>
      <c r="O173" s="288">
        <f t="shared" si="104"/>
        <v>5.3597255690509285E-2</v>
      </c>
      <c r="P173" s="288">
        <f t="shared" si="104"/>
        <v>5.5761800895378841E-2</v>
      </c>
      <c r="Q173" s="288">
        <f t="shared" si="104"/>
        <v>5.7194214174542589E-2</v>
      </c>
      <c r="R173" s="10"/>
      <c r="S173" s="288">
        <f t="shared" si="105"/>
        <v>4.8556980790172122E-2</v>
      </c>
      <c r="T173" s="288">
        <f t="shared" si="105"/>
        <v>4.86952135328962E-2</v>
      </c>
      <c r="U173" s="288">
        <f t="shared" si="105"/>
        <v>4.2858008392052581E-2</v>
      </c>
      <c r="V173" s="288">
        <f t="shared" si="105"/>
        <v>3.6464696602455098E-2</v>
      </c>
      <c r="W173" s="288">
        <f t="shared" si="105"/>
        <v>3.3899461768504641E-2</v>
      </c>
    </row>
    <row r="174" spans="1:25">
      <c r="A174" s="227" t="s">
        <v>17</v>
      </c>
      <c r="B174" s="227" t="str">
        <f t="shared" si="102"/>
        <v>TPPRMOT</v>
      </c>
      <c r="C174" s="227" t="str">
        <f t="shared" si="102"/>
        <v>Motorbike</v>
      </c>
      <c r="E174" s="288">
        <f t="shared" si="103"/>
        <v>1.8428701199896178E-2</v>
      </c>
      <c r="F174" s="288">
        <f t="shared" si="103"/>
        <v>1.6768619479291265E-2</v>
      </c>
      <c r="G174" s="288">
        <f t="shared" si="103"/>
        <v>1.7881338839199141E-2</v>
      </c>
      <c r="H174" s="288">
        <f t="shared" si="103"/>
        <v>1.7420631948633733E-2</v>
      </c>
      <c r="I174" s="288">
        <f t="shared" si="103"/>
        <v>1.8270485669756281E-2</v>
      </c>
      <c r="J174" s="288">
        <f t="shared" si="103"/>
        <v>1.9008346062748597E-2</v>
      </c>
      <c r="K174" s="288">
        <f t="shared" si="103"/>
        <v>1.9496633866908766E-2</v>
      </c>
      <c r="M174" s="288">
        <f t="shared" si="104"/>
        <v>1.6552332955557726E-2</v>
      </c>
      <c r="N174" s="288">
        <f t="shared" si="104"/>
        <v>1.7420631948633733E-2</v>
      </c>
      <c r="O174" s="288">
        <f t="shared" si="104"/>
        <v>1.8270485669756281E-2</v>
      </c>
      <c r="P174" s="288">
        <f t="shared" si="104"/>
        <v>1.9008346062748597E-2</v>
      </c>
      <c r="Q174" s="288">
        <f t="shared" si="104"/>
        <v>1.9496633866908766E-2</v>
      </c>
      <c r="R174" s="10"/>
      <c r="S174" s="288">
        <f t="shared" si="105"/>
        <v>1.6552332955557726E-2</v>
      </c>
      <c r="T174" s="288">
        <f t="shared" si="105"/>
        <v>1.651677605814135E-2</v>
      </c>
      <c r="U174" s="288">
        <f t="shared" si="105"/>
        <v>1.6152080930255594E-2</v>
      </c>
      <c r="V174" s="288">
        <f t="shared" si="105"/>
        <v>1.5460431942760325E-2</v>
      </c>
      <c r="W174" s="288">
        <f t="shared" si="105"/>
        <v>1.4372814541198865E-2</v>
      </c>
    </row>
    <row r="175" spans="1:25">
      <c r="A175" s="227" t="s">
        <v>17</v>
      </c>
      <c r="B175" s="227" t="str">
        <f t="shared" si="102"/>
        <v>TPPUBUS</v>
      </c>
      <c r="C175" s="227" t="str">
        <f t="shared" si="102"/>
        <v>Bus</v>
      </c>
      <c r="E175" s="288">
        <f t="shared" si="103"/>
        <v>5.5129449784413309E-2</v>
      </c>
      <c r="F175" s="288">
        <f t="shared" si="103"/>
        <v>6.2364872484948569E-2</v>
      </c>
      <c r="G175" s="288">
        <f t="shared" si="103"/>
        <v>5.8403018364180451E-2</v>
      </c>
      <c r="H175" s="288">
        <f t="shared" si="103"/>
        <v>5.8826715021264936E-2</v>
      </c>
      <c r="I175" s="288">
        <f t="shared" si="103"/>
        <v>6.7411137698062673E-2</v>
      </c>
      <c r="J175" s="288">
        <f t="shared" si="103"/>
        <v>5.2086362681920663E-2</v>
      </c>
      <c r="K175" s="288">
        <f t="shared" si="103"/>
        <v>3.5035156041120848E-2</v>
      </c>
      <c r="M175" s="288">
        <f t="shared" si="104"/>
        <v>6.4150732463279472E-2</v>
      </c>
      <c r="N175" s="288">
        <f t="shared" si="104"/>
        <v>5.8826715021264936E-2</v>
      </c>
      <c r="O175" s="288">
        <f t="shared" si="104"/>
        <v>6.7411137698062673E-2</v>
      </c>
      <c r="P175" s="288">
        <f t="shared" si="104"/>
        <v>5.2086362681920663E-2</v>
      </c>
      <c r="Q175" s="288">
        <f t="shared" si="104"/>
        <v>3.5035156041120848E-2</v>
      </c>
      <c r="R175" s="10"/>
      <c r="S175" s="288">
        <f t="shared" si="105"/>
        <v>6.4150732463279472E-2</v>
      </c>
      <c r="T175" s="288">
        <f t="shared" si="105"/>
        <v>6.2114861856680852E-2</v>
      </c>
      <c r="U175" s="288">
        <f t="shared" si="105"/>
        <v>7.3587779005411649E-2</v>
      </c>
      <c r="V175" s="288">
        <f t="shared" si="105"/>
        <v>5.3663999505993688E-2</v>
      </c>
      <c r="W175" s="288">
        <f t="shared" si="105"/>
        <v>2.397994264890636E-2</v>
      </c>
    </row>
    <row r="176" spans="1:25">
      <c r="A176" s="227" t="s">
        <v>17</v>
      </c>
      <c r="B176" s="227" t="str">
        <f t="shared" si="102"/>
        <v>TPPUMBT</v>
      </c>
      <c r="C176" s="227" t="str">
        <f t="shared" si="102"/>
        <v>Minibus</v>
      </c>
      <c r="E176" s="288">
        <f t="shared" si="103"/>
        <v>0.33850328511583844</v>
      </c>
      <c r="F176" s="288">
        <f t="shared" si="103"/>
        <v>0.37073518043360199</v>
      </c>
      <c r="G176" s="288">
        <f t="shared" si="103"/>
        <v>0.34785810488642133</v>
      </c>
      <c r="H176" s="288">
        <f t="shared" si="103"/>
        <v>0.34637834910840998</v>
      </c>
      <c r="I176" s="288">
        <f t="shared" si="103"/>
        <v>0.31225771302937771</v>
      </c>
      <c r="J176" s="288">
        <f t="shared" si="103"/>
        <v>0.27557073873057875</v>
      </c>
      <c r="K176" s="288">
        <f t="shared" si="103"/>
        <v>0.24674456488533852</v>
      </c>
      <c r="M176" s="288">
        <f t="shared" si="104"/>
        <v>0.37772676575079345</v>
      </c>
      <c r="N176" s="288">
        <f t="shared" si="104"/>
        <v>0.34637834910840998</v>
      </c>
      <c r="O176" s="288">
        <f t="shared" si="104"/>
        <v>0.31225771302937771</v>
      </c>
      <c r="P176" s="288">
        <f t="shared" si="104"/>
        <v>0.27557073873057875</v>
      </c>
      <c r="Q176" s="288">
        <f t="shared" si="104"/>
        <v>0.24674456488533852</v>
      </c>
      <c r="R176" s="10"/>
      <c r="S176" s="288">
        <f t="shared" si="105"/>
        <v>0.37772676575079345</v>
      </c>
      <c r="T176" s="288">
        <f t="shared" si="105"/>
        <v>0.36573932943963694</v>
      </c>
      <c r="U176" s="288">
        <f t="shared" si="105"/>
        <v>0.34086876981756487</v>
      </c>
      <c r="V176" s="288">
        <f t="shared" si="105"/>
        <v>0.28391746372101995</v>
      </c>
      <c r="W176" s="288">
        <f t="shared" si="105"/>
        <v>0.20830526841651514</v>
      </c>
    </row>
    <row r="177" spans="1:42">
      <c r="A177" s="227" t="s">
        <v>17</v>
      </c>
      <c r="B177" s="227" t="str">
        <f t="shared" si="102"/>
        <v>TPPUBRT</v>
      </c>
      <c r="C177" s="227" t="str">
        <f t="shared" si="102"/>
        <v>BRT</v>
      </c>
      <c r="E177" s="288">
        <f t="shared" si="103"/>
        <v>2.0434681391541887E-3</v>
      </c>
      <c r="F177" s="288">
        <f t="shared" si="103"/>
        <v>2.3063504415672988E-3</v>
      </c>
      <c r="G177" s="288">
        <f t="shared" si="103"/>
        <v>2.159889829656805E-3</v>
      </c>
      <c r="H177" s="288">
        <f t="shared" si="103"/>
        <v>1.8556001182697009E-2</v>
      </c>
      <c r="I177" s="288">
        <f t="shared" si="103"/>
        <v>3.9203238412745867E-2</v>
      </c>
      <c r="J177" s="288">
        <f t="shared" si="103"/>
        <v>6.6614859838221685E-2</v>
      </c>
      <c r="K177" s="288">
        <f t="shared" si="103"/>
        <v>9.0867370574809592E-2</v>
      </c>
      <c r="M177" s="288">
        <f t="shared" si="104"/>
        <v>2.1694782144152935E-3</v>
      </c>
      <c r="N177" s="288">
        <f t="shared" si="104"/>
        <v>1.8556001182697009E-2</v>
      </c>
      <c r="O177" s="288">
        <f t="shared" si="104"/>
        <v>3.9203238412745867E-2</v>
      </c>
      <c r="P177" s="288">
        <f t="shared" si="104"/>
        <v>6.6614859838221685E-2</v>
      </c>
      <c r="Q177" s="288">
        <f t="shared" si="104"/>
        <v>9.0867370574809592E-2</v>
      </c>
      <c r="R177" s="10"/>
      <c r="S177" s="288">
        <f t="shared" si="105"/>
        <v>2.1694782144152935E-3</v>
      </c>
      <c r="T177" s="288">
        <f t="shared" si="105"/>
        <v>1.9116979407301612E-2</v>
      </c>
      <c r="U177" s="288">
        <f t="shared" si="105"/>
        <v>5.7646531450478496E-2</v>
      </c>
      <c r="V177" s="288">
        <f t="shared" si="105"/>
        <v>0.14153694456595645</v>
      </c>
      <c r="W177" s="288">
        <f t="shared" si="105"/>
        <v>0.26191919213974318</v>
      </c>
    </row>
    <row r="178" spans="1:42">
      <c r="A178" s="227" t="s">
        <v>17</v>
      </c>
      <c r="B178" s="227" t="str">
        <f t="shared" si="102"/>
        <v>TPPUMER</v>
      </c>
      <c r="C178" s="227" t="str">
        <f t="shared" si="102"/>
        <v>Metro Rail</v>
      </c>
      <c r="E178" s="288">
        <f t="shared" si="103"/>
        <v>5.8792419195946542E-2</v>
      </c>
      <c r="F178" s="288">
        <f t="shared" si="103"/>
        <v>6.7687422036208381E-2</v>
      </c>
      <c r="G178" s="288">
        <f t="shared" si="103"/>
        <v>6.200474340080845E-2</v>
      </c>
      <c r="H178" s="288">
        <f t="shared" si="103"/>
        <v>6.016018749777477E-2</v>
      </c>
      <c r="I178" s="288">
        <f t="shared" si="103"/>
        <v>3.9854741236582142E-2</v>
      </c>
      <c r="J178" s="288">
        <f t="shared" si="103"/>
        <v>4.2576911482980158E-2</v>
      </c>
      <c r="K178" s="288">
        <f t="shared" si="103"/>
        <v>4.9725833104669298E-2</v>
      </c>
      <c r="M178" s="288">
        <f t="shared" si="104"/>
        <v>6.5604888726412749E-2</v>
      </c>
      <c r="N178" s="288">
        <f t="shared" si="104"/>
        <v>6.016018749777477E-2</v>
      </c>
      <c r="O178" s="288">
        <f t="shared" si="104"/>
        <v>3.9854741236582142E-2</v>
      </c>
      <c r="P178" s="288">
        <f t="shared" si="104"/>
        <v>4.2576911482980158E-2</v>
      </c>
      <c r="Q178" s="288">
        <f t="shared" si="104"/>
        <v>4.9725833104669298E-2</v>
      </c>
      <c r="R178" s="10"/>
      <c r="S178" s="288">
        <f t="shared" si="105"/>
        <v>6.5604888726412749E-2</v>
      </c>
      <c r="T178" s="288">
        <f t="shared" si="105"/>
        <v>6.3522869402880794E-2</v>
      </c>
      <c r="U178" s="288">
        <f t="shared" si="105"/>
        <v>4.3506488550478201E-2</v>
      </c>
      <c r="V178" s="288">
        <f t="shared" si="105"/>
        <v>4.3866517820459396E-2</v>
      </c>
      <c r="W178" s="288">
        <f t="shared" si="105"/>
        <v>4.7576489013399594E-2</v>
      </c>
    </row>
    <row r="179" spans="1:42">
      <c r="A179" s="227" t="s">
        <v>17</v>
      </c>
      <c r="B179" s="227" t="str">
        <f t="shared" si="102"/>
        <v>TPPUGAT</v>
      </c>
      <c r="C179" s="227" t="str">
        <f t="shared" si="102"/>
        <v>Gautrain</v>
      </c>
      <c r="E179" s="288">
        <f t="shared" si="103"/>
        <v>2.2113394569600567E-3</v>
      </c>
      <c r="F179" s="288">
        <f t="shared" si="103"/>
        <v>2.5291222530238145E-3</v>
      </c>
      <c r="G179" s="288">
        <f t="shared" si="103"/>
        <v>2.3916929026613055E-3</v>
      </c>
      <c r="H179" s="288">
        <f t="shared" si="103"/>
        <v>2.4788838566130863E-3</v>
      </c>
      <c r="I179" s="288">
        <f t="shared" si="103"/>
        <v>2.6176850984754203E-3</v>
      </c>
      <c r="J179" s="288">
        <f t="shared" si="103"/>
        <v>2.7418396580908061E-3</v>
      </c>
      <c r="K179" s="288">
        <f t="shared" si="103"/>
        <v>2.8219524210171183E-3</v>
      </c>
      <c r="M179" s="288">
        <f t="shared" si="104"/>
        <v>2.3477012851971851E-3</v>
      </c>
      <c r="N179" s="288">
        <f t="shared" si="104"/>
        <v>2.4788838566130863E-3</v>
      </c>
      <c r="O179" s="288">
        <f t="shared" si="104"/>
        <v>2.6176850984754203E-3</v>
      </c>
      <c r="P179" s="288">
        <f t="shared" si="104"/>
        <v>2.7418396580908061E-3</v>
      </c>
      <c r="Q179" s="288">
        <f t="shared" si="104"/>
        <v>2.8219524210171183E-3</v>
      </c>
      <c r="S179" s="288">
        <f t="shared" si="105"/>
        <v>2.3477012851971851E-3</v>
      </c>
      <c r="T179" s="288">
        <f t="shared" si="105"/>
        <v>2.5538245645378363E-3</v>
      </c>
      <c r="U179" s="288">
        <f t="shared" si="105"/>
        <v>8.1903379310381552E-3</v>
      </c>
      <c r="V179" s="288">
        <f t="shared" si="105"/>
        <v>2.1206366855881845E-2</v>
      </c>
      <c r="W179" s="288">
        <f t="shared" si="105"/>
        <v>3.4475835675127769E-2</v>
      </c>
    </row>
    <row r="180" spans="1:42">
      <c r="A180" s="227" t="s">
        <v>17</v>
      </c>
    </row>
    <row r="181" spans="1:42">
      <c r="A181" s="227" t="s">
        <v>17</v>
      </c>
      <c r="C181" s="227" t="s">
        <v>146</v>
      </c>
      <c r="E181" s="34">
        <f t="shared" ref="E181:K181" si="106">SUM(E172:E173)</f>
        <v>0.52489133710779112</v>
      </c>
      <c r="F181" s="34">
        <f t="shared" si="106"/>
        <v>0.47760843287135879</v>
      </c>
      <c r="G181" s="34">
        <f t="shared" si="106"/>
        <v>0.50930121177707233</v>
      </c>
      <c r="H181" s="34">
        <f t="shared" si="106"/>
        <v>0.49617923138460657</v>
      </c>
      <c r="I181" s="34">
        <f t="shared" si="106"/>
        <v>0.52038499885499989</v>
      </c>
      <c r="J181" s="34">
        <f t="shared" si="106"/>
        <v>0.54140094154545926</v>
      </c>
      <c r="K181" s="34">
        <f t="shared" si="106"/>
        <v>0.55530848910613606</v>
      </c>
      <c r="M181" s="34">
        <f>SUM(M172:M173)</f>
        <v>0.47144810060434406</v>
      </c>
      <c r="N181" s="34">
        <f>SUM(N172:N173)</f>
        <v>0.49617923138460657</v>
      </c>
      <c r="O181" s="34">
        <f>SUM(O172:O173)</f>
        <v>0.52038499885499989</v>
      </c>
      <c r="P181" s="34">
        <f>SUM(P172:P173)</f>
        <v>0.54140094154545926</v>
      </c>
      <c r="Q181" s="34">
        <f>SUM(Q172:Q173)</f>
        <v>0.55530848910613606</v>
      </c>
      <c r="S181" s="34">
        <f>SUM(S172:S173)</f>
        <v>0.47144810060434406</v>
      </c>
      <c r="T181" s="34">
        <f>SUM(T172:T173)</f>
        <v>0.47043535927082059</v>
      </c>
      <c r="U181" s="34">
        <f>SUM(U172:U173)</f>
        <v>0.46004801231477305</v>
      </c>
      <c r="V181" s="34">
        <f>SUM(V172:V173)</f>
        <v>0.44034827558792844</v>
      </c>
      <c r="W181" s="34">
        <f>SUM(W172:W173)</f>
        <v>0.40937045756510915</v>
      </c>
    </row>
    <row r="182" spans="1:42">
      <c r="A182" s="227" t="s">
        <v>17</v>
      </c>
      <c r="C182" s="227" t="s">
        <v>147</v>
      </c>
      <c r="E182" s="34">
        <f t="shared" ref="E182:K182" si="107">1-E181</f>
        <v>0.47510866289220888</v>
      </c>
      <c r="F182" s="34">
        <f t="shared" si="107"/>
        <v>0.52239156712864121</v>
      </c>
      <c r="G182" s="34">
        <f t="shared" si="107"/>
        <v>0.49069878822292767</v>
      </c>
      <c r="H182" s="34">
        <f t="shared" si="107"/>
        <v>0.50382076861539349</v>
      </c>
      <c r="I182" s="34">
        <f t="shared" si="107"/>
        <v>0.47961500114500011</v>
      </c>
      <c r="J182" s="34">
        <f t="shared" si="107"/>
        <v>0.45859905845454074</v>
      </c>
      <c r="K182" s="34">
        <f t="shared" si="107"/>
        <v>0.44469151089386394</v>
      </c>
      <c r="M182" s="34">
        <f>1-M181</f>
        <v>0.52855189939565594</v>
      </c>
      <c r="N182" s="34">
        <f>1-N181</f>
        <v>0.50382076861539349</v>
      </c>
      <c r="O182" s="34">
        <f>1-O181</f>
        <v>0.47961500114500011</v>
      </c>
      <c r="P182" s="34">
        <f>1-P181</f>
        <v>0.45859905845454074</v>
      </c>
      <c r="Q182" s="34">
        <f>1-Q181</f>
        <v>0.44469151089386394</v>
      </c>
      <c r="S182" s="34">
        <f>1-S181</f>
        <v>0.52855189939565594</v>
      </c>
      <c r="T182" s="34">
        <f>1-T181</f>
        <v>0.52956464072917941</v>
      </c>
      <c r="U182" s="34">
        <f>1-U181</f>
        <v>0.53995198768522701</v>
      </c>
      <c r="V182" s="34">
        <f>1-V181</f>
        <v>0.55965172441207156</v>
      </c>
      <c r="W182" s="34">
        <f>1-W181</f>
        <v>0.59062954243489085</v>
      </c>
    </row>
    <row r="183" spans="1:42">
      <c r="A183" s="227" t="s">
        <v>17</v>
      </c>
      <c r="T183" s="34">
        <f>T182/M182</f>
        <v>1.0019160679106089</v>
      </c>
      <c r="U183" s="34">
        <f>U182/M182</f>
        <v>1.0215685314963505</v>
      </c>
    </row>
    <row r="184" spans="1:42">
      <c r="A184" s="227" t="s">
        <v>17</v>
      </c>
    </row>
    <row r="185" spans="1:42" ht="15" thickBot="1">
      <c r="A185" s="227" t="s">
        <v>17</v>
      </c>
      <c r="C185" s="273" t="s">
        <v>205</v>
      </c>
      <c r="E185" s="7">
        <v>2012</v>
      </c>
      <c r="F185" s="7">
        <f>F4</f>
        <v>2015</v>
      </c>
      <c r="G185" s="7">
        <f>G4</f>
        <v>2017</v>
      </c>
      <c r="H185" s="7">
        <v>2020</v>
      </c>
      <c r="I185" s="7">
        <v>2030</v>
      </c>
      <c r="J185" s="7">
        <v>2040</v>
      </c>
      <c r="K185" s="7">
        <v>2050</v>
      </c>
      <c r="L185" s="227">
        <f>L4</f>
        <v>0</v>
      </c>
      <c r="M185" s="227">
        <f t="shared" ref="M185:AJ185" si="108">M4</f>
        <v>0</v>
      </c>
      <c r="N185" s="227">
        <f t="shared" si="108"/>
        <v>0</v>
      </c>
      <c r="O185" s="227">
        <f t="shared" si="108"/>
        <v>0</v>
      </c>
      <c r="P185" s="227">
        <f t="shared" si="108"/>
        <v>0</v>
      </c>
      <c r="Q185" s="227">
        <f t="shared" si="108"/>
        <v>0</v>
      </c>
      <c r="R185" s="227">
        <f t="shared" si="108"/>
        <v>0</v>
      </c>
      <c r="S185" s="227">
        <f t="shared" si="108"/>
        <v>0</v>
      </c>
      <c r="T185" s="227">
        <f t="shared" si="108"/>
        <v>0</v>
      </c>
      <c r="U185" s="227">
        <f t="shared" si="108"/>
        <v>0</v>
      </c>
      <c r="V185" s="227">
        <f t="shared" si="108"/>
        <v>0</v>
      </c>
      <c r="W185" s="227">
        <f t="shared" si="108"/>
        <v>0</v>
      </c>
      <c r="X185" s="227">
        <f t="shared" si="108"/>
        <v>0</v>
      </c>
      <c r="Y185" s="227">
        <f t="shared" si="108"/>
        <v>0</v>
      </c>
      <c r="Z185" s="227">
        <f t="shared" si="108"/>
        <v>0</v>
      </c>
      <c r="AA185" s="227">
        <f t="shared" si="108"/>
        <v>0</v>
      </c>
      <c r="AB185" s="227">
        <f t="shared" si="108"/>
        <v>0</v>
      </c>
      <c r="AC185" s="227">
        <f t="shared" si="108"/>
        <v>0</v>
      </c>
      <c r="AD185" s="227">
        <f t="shared" si="108"/>
        <v>0</v>
      </c>
      <c r="AE185" s="227">
        <f t="shared" si="108"/>
        <v>0</v>
      </c>
      <c r="AF185" s="227">
        <f t="shared" si="108"/>
        <v>0</v>
      </c>
      <c r="AG185" s="227">
        <f t="shared" si="108"/>
        <v>0</v>
      </c>
      <c r="AH185" s="227">
        <f t="shared" si="108"/>
        <v>0</v>
      </c>
      <c r="AI185" s="227">
        <f t="shared" si="108"/>
        <v>0</v>
      </c>
      <c r="AJ185" s="227">
        <f t="shared" si="108"/>
        <v>0</v>
      </c>
    </row>
    <row r="186" spans="1:42">
      <c r="A186" s="227" t="s">
        <v>17</v>
      </c>
      <c r="B186" s="227" t="str">
        <f>B149</f>
        <v>TPPRCAR</v>
      </c>
      <c r="C186" s="227" t="str">
        <f>C149</f>
        <v>Car Priv.Veh. Vehicle km</v>
      </c>
      <c r="E186" s="10">
        <f t="shared" ref="E186:K193" si="109">E149</f>
        <v>87.436118489606741</v>
      </c>
      <c r="F186" s="10">
        <f>F149</f>
        <v>91.2</v>
      </c>
      <c r="G186" s="10">
        <f>G149</f>
        <v>93.68</v>
      </c>
      <c r="H186" s="10">
        <f t="shared" si="109"/>
        <v>93.803864308611566</v>
      </c>
      <c r="I186" s="10">
        <f t="shared" si="109"/>
        <v>112.52583416411741</v>
      </c>
      <c r="J186" s="10">
        <f t="shared" si="109"/>
        <v>133.30211783452521</v>
      </c>
      <c r="K186" s="10">
        <f t="shared" si="109"/>
        <v>154.75252857018134</v>
      </c>
      <c r="L186" s="297">
        <f t="shared" ref="L186:L193" si="110">E186</f>
        <v>87.436118489606741</v>
      </c>
      <c r="M186" s="279">
        <f t="shared" ref="M186:AJ193" si="111">IF(M$4&lt;=$H$148,($H186-$F186)/10,IF(AND(M$4&gt;$H$148,M$4&lt;=$I$148),($I186-$H186)/10,IF(AND(M$4&gt;$I$148,M$4&lt;=$J$148),($J186-$I186)/2,($K186-$J186)/2)))+L186</f>
        <v>87.696504920467902</v>
      </c>
      <c r="N186" s="279">
        <f t="shared" si="111"/>
        <v>87.956891351329062</v>
      </c>
      <c r="O186" s="279">
        <f t="shared" si="111"/>
        <v>88.217277782190223</v>
      </c>
      <c r="P186" s="279">
        <f t="shared" si="111"/>
        <v>88.477664213051384</v>
      </c>
      <c r="Q186" s="279">
        <f t="shared" si="111"/>
        <v>88.738050643912544</v>
      </c>
      <c r="R186" s="279">
        <f t="shared" si="111"/>
        <v>88.998437074773705</v>
      </c>
      <c r="S186" s="279">
        <f t="shared" si="111"/>
        <v>89.258823505634865</v>
      </c>
      <c r="T186" s="279">
        <f t="shared" si="111"/>
        <v>89.519209936496026</v>
      </c>
      <c r="U186" s="279">
        <f t="shared" si="111"/>
        <v>89.779596367357186</v>
      </c>
      <c r="V186" s="279">
        <f t="shared" si="111"/>
        <v>90.039982798218347</v>
      </c>
      <c r="W186" s="279">
        <f t="shared" si="111"/>
        <v>90.300369229079507</v>
      </c>
      <c r="X186" s="279">
        <f t="shared" si="111"/>
        <v>90.560755659940668</v>
      </c>
      <c r="Y186" s="279">
        <f t="shared" si="111"/>
        <v>90.821142090801828</v>
      </c>
      <c r="Z186" s="279">
        <f t="shared" si="111"/>
        <v>91.081528521662989</v>
      </c>
      <c r="AA186" s="279">
        <f t="shared" si="111"/>
        <v>91.341914952524149</v>
      </c>
      <c r="AB186" s="279">
        <f t="shared" si="111"/>
        <v>91.60230138338531</v>
      </c>
      <c r="AC186" s="279">
        <f t="shared" si="111"/>
        <v>91.86268781424647</v>
      </c>
      <c r="AD186" s="279">
        <f t="shared" si="111"/>
        <v>92.123074245107631</v>
      </c>
      <c r="AE186" s="279">
        <f t="shared" si="111"/>
        <v>92.383460675968792</v>
      </c>
      <c r="AF186" s="279">
        <f t="shared" si="111"/>
        <v>92.643847106829952</v>
      </c>
      <c r="AG186" s="279">
        <f t="shared" si="111"/>
        <v>92.904233537691113</v>
      </c>
      <c r="AH186" s="279">
        <f t="shared" si="111"/>
        <v>93.164619968552273</v>
      </c>
      <c r="AI186" s="279">
        <f t="shared" si="111"/>
        <v>93.425006399413434</v>
      </c>
      <c r="AJ186" s="279">
        <f t="shared" si="111"/>
        <v>93.685392830274594</v>
      </c>
      <c r="AK186" s="279"/>
      <c r="AL186" s="279"/>
      <c r="AM186" s="279"/>
      <c r="AN186" s="279"/>
      <c r="AO186" s="10"/>
      <c r="AP186" s="10"/>
    </row>
    <row r="187" spans="1:42">
      <c r="A187" s="227" t="s">
        <v>17</v>
      </c>
      <c r="B187" s="227" t="str">
        <f t="shared" ref="B187:C193" si="112">B150</f>
        <v>TPPRSUV</v>
      </c>
      <c r="C187" s="227" t="str">
        <f t="shared" si="112"/>
        <v>SUV Priv.Veh. Vehicle km</v>
      </c>
      <c r="E187" s="10">
        <f t="shared" si="109"/>
        <v>10.045687245471997</v>
      </c>
      <c r="F187" s="10">
        <f t="shared" si="109"/>
        <v>14.314445147098091</v>
      </c>
      <c r="G187" s="10">
        <f t="shared" si="109"/>
        <v>17.39437632101837</v>
      </c>
      <c r="H187" s="10">
        <f t="shared" si="109"/>
        <v>10.770697760876752</v>
      </c>
      <c r="I187" s="10">
        <f t="shared" si="109"/>
        <v>12.920381894767884</v>
      </c>
      <c r="J187" s="10">
        <f t="shared" si="109"/>
        <v>15.305945364434647</v>
      </c>
      <c r="K187" s="10">
        <f t="shared" si="109"/>
        <v>17.76891309591656</v>
      </c>
      <c r="L187" s="297">
        <f t="shared" si="110"/>
        <v>10.045687245471997</v>
      </c>
      <c r="M187" s="279">
        <f t="shared" si="111"/>
        <v>9.6913125068498633</v>
      </c>
      <c r="N187" s="279">
        <f t="shared" si="111"/>
        <v>9.3369377682277293</v>
      </c>
      <c r="O187" s="279">
        <f t="shared" si="111"/>
        <v>8.9825630296055952</v>
      </c>
      <c r="P187" s="279">
        <f t="shared" si="111"/>
        <v>8.6281882909834611</v>
      </c>
      <c r="Q187" s="279">
        <f t="shared" si="111"/>
        <v>8.273813552361327</v>
      </c>
      <c r="R187" s="279">
        <f t="shared" si="111"/>
        <v>7.9194388137391929</v>
      </c>
      <c r="S187" s="279">
        <f t="shared" si="111"/>
        <v>7.5650640751170588</v>
      </c>
      <c r="T187" s="279">
        <f t="shared" si="111"/>
        <v>7.2106893364949247</v>
      </c>
      <c r="U187" s="279">
        <f t="shared" si="111"/>
        <v>6.8563145978727906</v>
      </c>
      <c r="V187" s="279">
        <f t="shared" si="111"/>
        <v>6.5019398592506565</v>
      </c>
      <c r="W187" s="279">
        <f t="shared" si="111"/>
        <v>6.1475651206285225</v>
      </c>
      <c r="X187" s="279">
        <f t="shared" si="111"/>
        <v>5.7931903820063884</v>
      </c>
      <c r="Y187" s="279">
        <f t="shared" si="111"/>
        <v>5.4388156433842543</v>
      </c>
      <c r="Z187" s="279">
        <f t="shared" si="111"/>
        <v>5.0844409047621202</v>
      </c>
      <c r="AA187" s="279">
        <f t="shared" si="111"/>
        <v>4.7300661661399861</v>
      </c>
      <c r="AB187" s="279">
        <f t="shared" si="111"/>
        <v>4.375691427517852</v>
      </c>
      <c r="AC187" s="279">
        <f t="shared" si="111"/>
        <v>4.0213166888957179</v>
      </c>
      <c r="AD187" s="279">
        <f t="shared" si="111"/>
        <v>3.6669419502735838</v>
      </c>
      <c r="AE187" s="279">
        <f t="shared" si="111"/>
        <v>3.3125672116514497</v>
      </c>
      <c r="AF187" s="279">
        <f t="shared" si="111"/>
        <v>2.9581924730293157</v>
      </c>
      <c r="AG187" s="279">
        <f t="shared" si="111"/>
        <v>2.6038177344071816</v>
      </c>
      <c r="AH187" s="279">
        <f t="shared" si="111"/>
        <v>2.2494429957850475</v>
      </c>
      <c r="AI187" s="279">
        <f t="shared" si="111"/>
        <v>1.8950682571629136</v>
      </c>
      <c r="AJ187" s="279">
        <f t="shared" si="111"/>
        <v>1.5406935185407797</v>
      </c>
      <c r="AK187" s="279"/>
      <c r="AL187" s="279"/>
      <c r="AM187" s="279"/>
      <c r="AN187" s="279"/>
      <c r="AO187" s="10"/>
      <c r="AP187" s="10"/>
    </row>
    <row r="188" spans="1:42">
      <c r="A188" s="227" t="s">
        <v>17</v>
      </c>
      <c r="B188" s="227" t="str">
        <f t="shared" si="112"/>
        <v>TPPRMOT</v>
      </c>
      <c r="C188" s="227" t="str">
        <f t="shared" si="112"/>
        <v>Motorbikes Priv.Veh. Vehicle km</v>
      </c>
      <c r="E188" s="10">
        <f t="shared" si="109"/>
        <v>4.7886550612110206</v>
      </c>
      <c r="F188" s="10">
        <f t="shared" si="109"/>
        <v>3.9</v>
      </c>
      <c r="G188" s="10">
        <f t="shared" si="109"/>
        <v>3.4347957884807903</v>
      </c>
      <c r="H188" s="10">
        <f t="shared" si="109"/>
        <v>3.6715663247702541</v>
      </c>
      <c r="I188" s="10">
        <f t="shared" si="109"/>
        <v>4.4043608056957968</v>
      </c>
      <c r="J188" s="10">
        <f t="shared" si="109"/>
        <v>5.217562948703252</v>
      </c>
      <c r="K188" s="10">
        <f t="shared" si="109"/>
        <v>6.0571510220732225</v>
      </c>
      <c r="L188" s="297">
        <f t="shared" si="110"/>
        <v>4.7886550612110206</v>
      </c>
      <c r="M188" s="279">
        <f t="shared" si="111"/>
        <v>4.7658116936880459</v>
      </c>
      <c r="N188" s="279">
        <f t="shared" si="111"/>
        <v>4.7429683261650712</v>
      </c>
      <c r="O188" s="279">
        <f t="shared" si="111"/>
        <v>4.7201249586420966</v>
      </c>
      <c r="P188" s="279">
        <f t="shared" si="111"/>
        <v>4.6972815911191219</v>
      </c>
      <c r="Q188" s="279">
        <f t="shared" si="111"/>
        <v>4.6744382235961472</v>
      </c>
      <c r="R188" s="279">
        <f t="shared" si="111"/>
        <v>4.6515948560731726</v>
      </c>
      <c r="S188" s="279">
        <f t="shared" si="111"/>
        <v>4.6287514885501979</v>
      </c>
      <c r="T188" s="279">
        <f t="shared" si="111"/>
        <v>4.6059081210272232</v>
      </c>
      <c r="U188" s="279">
        <f t="shared" si="111"/>
        <v>4.5830647535042486</v>
      </c>
      <c r="V188" s="279">
        <f t="shared" si="111"/>
        <v>4.5602213859812739</v>
      </c>
      <c r="W188" s="279">
        <f t="shared" si="111"/>
        <v>4.5373780184582992</v>
      </c>
      <c r="X188" s="279">
        <f t="shared" si="111"/>
        <v>4.5145346509353246</v>
      </c>
      <c r="Y188" s="279">
        <f t="shared" si="111"/>
        <v>4.4916912834123499</v>
      </c>
      <c r="Z188" s="279">
        <f t="shared" si="111"/>
        <v>4.4688479158893752</v>
      </c>
      <c r="AA188" s="279">
        <f t="shared" si="111"/>
        <v>4.4460045483664006</v>
      </c>
      <c r="AB188" s="279">
        <f t="shared" si="111"/>
        <v>4.4231611808434259</v>
      </c>
      <c r="AC188" s="279">
        <f t="shared" si="111"/>
        <v>4.4003178133204512</v>
      </c>
      <c r="AD188" s="279">
        <f t="shared" si="111"/>
        <v>4.3774744457974766</v>
      </c>
      <c r="AE188" s="279">
        <f t="shared" si="111"/>
        <v>4.3546310782745019</v>
      </c>
      <c r="AF188" s="279">
        <f t="shared" si="111"/>
        <v>4.3317877107515272</v>
      </c>
      <c r="AG188" s="279">
        <f t="shared" si="111"/>
        <v>4.3089443432285526</v>
      </c>
      <c r="AH188" s="279">
        <f t="shared" si="111"/>
        <v>4.2861009757055779</v>
      </c>
      <c r="AI188" s="279">
        <f t="shared" si="111"/>
        <v>4.2632576081826032</v>
      </c>
      <c r="AJ188" s="279">
        <f t="shared" si="111"/>
        <v>4.2404142406596286</v>
      </c>
      <c r="AK188" s="279"/>
      <c r="AL188" s="279"/>
      <c r="AM188" s="279"/>
      <c r="AN188" s="279"/>
      <c r="AO188" s="10"/>
      <c r="AP188" s="10"/>
    </row>
    <row r="189" spans="1:42">
      <c r="A189" s="227" t="s">
        <v>17</v>
      </c>
      <c r="B189" s="227" t="str">
        <f t="shared" si="112"/>
        <v>TPPUBUS</v>
      </c>
      <c r="C189" s="227" t="str">
        <f t="shared" si="112"/>
        <v>Bus vehicle km</v>
      </c>
      <c r="E189" s="10">
        <f t="shared" si="109"/>
        <v>0.61799148971758899</v>
      </c>
      <c r="F189" s="10">
        <f t="shared" si="109"/>
        <v>0.65</v>
      </c>
      <c r="G189" s="10">
        <f t="shared" si="109"/>
        <v>0.671544296289739</v>
      </c>
      <c r="H189" s="10">
        <f t="shared" si="109"/>
        <v>0.69430468678312451</v>
      </c>
      <c r="I189" s="10">
        <f t="shared" si="109"/>
        <v>0.9100232349721401</v>
      </c>
      <c r="J189" s="10">
        <f t="shared" si="109"/>
        <v>0.8006365734939842</v>
      </c>
      <c r="K189" s="10">
        <f t="shared" si="109"/>
        <v>0.60953808896502315</v>
      </c>
      <c r="L189" s="297">
        <f t="shared" si="110"/>
        <v>0.61799148971758899</v>
      </c>
      <c r="M189" s="279">
        <f t="shared" si="111"/>
        <v>0.62242195839590142</v>
      </c>
      <c r="N189" s="279">
        <f t="shared" si="111"/>
        <v>0.62685242707421385</v>
      </c>
      <c r="O189" s="279">
        <f t="shared" si="111"/>
        <v>0.63128289575252627</v>
      </c>
      <c r="P189" s="279">
        <f t="shared" si="111"/>
        <v>0.6357133644308387</v>
      </c>
      <c r="Q189" s="279">
        <f t="shared" si="111"/>
        <v>0.64014383310915113</v>
      </c>
      <c r="R189" s="279">
        <f t="shared" si="111"/>
        <v>0.64457430178746355</v>
      </c>
      <c r="S189" s="279">
        <f t="shared" si="111"/>
        <v>0.64900477046577598</v>
      </c>
      <c r="T189" s="279">
        <f t="shared" si="111"/>
        <v>0.65343523914408841</v>
      </c>
      <c r="U189" s="279">
        <f t="shared" si="111"/>
        <v>0.65786570782240084</v>
      </c>
      <c r="V189" s="279">
        <f t="shared" si="111"/>
        <v>0.66229617650071326</v>
      </c>
      <c r="W189" s="279">
        <f t="shared" si="111"/>
        <v>0.66672664517902569</v>
      </c>
      <c r="X189" s="279">
        <f t="shared" si="111"/>
        <v>0.67115711385733812</v>
      </c>
      <c r="Y189" s="279">
        <f t="shared" si="111"/>
        <v>0.67558758253565054</v>
      </c>
      <c r="Z189" s="279">
        <f t="shared" si="111"/>
        <v>0.68001805121396297</v>
      </c>
      <c r="AA189" s="279">
        <f t="shared" si="111"/>
        <v>0.6844485198922754</v>
      </c>
      <c r="AB189" s="279">
        <f t="shared" si="111"/>
        <v>0.68887898857058782</v>
      </c>
      <c r="AC189" s="279">
        <f t="shared" si="111"/>
        <v>0.69330945724890025</v>
      </c>
      <c r="AD189" s="279">
        <f t="shared" si="111"/>
        <v>0.69773992592721268</v>
      </c>
      <c r="AE189" s="279">
        <f t="shared" si="111"/>
        <v>0.70217039460552511</v>
      </c>
      <c r="AF189" s="279">
        <f t="shared" si="111"/>
        <v>0.70660086328383753</v>
      </c>
      <c r="AG189" s="279">
        <f t="shared" si="111"/>
        <v>0.71103133196214996</v>
      </c>
      <c r="AH189" s="279">
        <f t="shared" si="111"/>
        <v>0.71546180064046239</v>
      </c>
      <c r="AI189" s="279">
        <f t="shared" si="111"/>
        <v>0.71989226931877481</v>
      </c>
      <c r="AJ189" s="279">
        <f t="shared" si="111"/>
        <v>0.72432273799708724</v>
      </c>
      <c r="AK189" s="279"/>
      <c r="AL189" s="279"/>
      <c r="AM189" s="279"/>
      <c r="AN189" s="279"/>
      <c r="AO189" s="10"/>
      <c r="AP189" s="10"/>
    </row>
    <row r="190" spans="1:42">
      <c r="A190" s="227" t="s">
        <v>17</v>
      </c>
      <c r="B190" s="227" t="str">
        <f t="shared" si="112"/>
        <v>TPPUMBT</v>
      </c>
      <c r="C190" s="227" t="str">
        <f t="shared" si="112"/>
        <v>Minibus vehicle km</v>
      </c>
      <c r="E190" s="10">
        <f t="shared" si="109"/>
        <v>6.7760046795409954</v>
      </c>
      <c r="F190" s="10">
        <f t="shared" si="109"/>
        <v>6.9</v>
      </c>
      <c r="G190" s="10">
        <f t="shared" si="109"/>
        <v>7.1425530000000004</v>
      </c>
      <c r="H190" s="10">
        <f t="shared" si="109"/>
        <v>7.3002580271819228</v>
      </c>
      <c r="I190" s="10">
        <f t="shared" si="109"/>
        <v>7.5274169357159861</v>
      </c>
      <c r="J190" s="10">
        <f t="shared" si="109"/>
        <v>7.5640861724691559</v>
      </c>
      <c r="K190" s="10">
        <f t="shared" si="109"/>
        <v>7.6657801730735793</v>
      </c>
      <c r="L190" s="297">
        <f t="shared" si="110"/>
        <v>6.7760046795409954</v>
      </c>
      <c r="M190" s="279">
        <f t="shared" si="111"/>
        <v>6.8160304822591877</v>
      </c>
      <c r="N190" s="279">
        <f t="shared" si="111"/>
        <v>6.8560562849773801</v>
      </c>
      <c r="O190" s="279">
        <f t="shared" si="111"/>
        <v>6.8960820876955724</v>
      </c>
      <c r="P190" s="279">
        <f t="shared" si="111"/>
        <v>6.9361078904137647</v>
      </c>
      <c r="Q190" s="279">
        <f t="shared" si="111"/>
        <v>6.9761336931319571</v>
      </c>
      <c r="R190" s="279">
        <f t="shared" si="111"/>
        <v>7.0161594958501494</v>
      </c>
      <c r="S190" s="279">
        <f t="shared" si="111"/>
        <v>7.0561852985683418</v>
      </c>
      <c r="T190" s="279">
        <f t="shared" si="111"/>
        <v>7.0962111012865341</v>
      </c>
      <c r="U190" s="279">
        <f t="shared" si="111"/>
        <v>7.1362369040047264</v>
      </c>
      <c r="V190" s="279">
        <f t="shared" si="111"/>
        <v>7.1762627067229188</v>
      </c>
      <c r="W190" s="279">
        <f t="shared" si="111"/>
        <v>7.2162885094411111</v>
      </c>
      <c r="X190" s="279">
        <f t="shared" si="111"/>
        <v>7.2563143121593034</v>
      </c>
      <c r="Y190" s="279">
        <f t="shared" si="111"/>
        <v>7.2963401148774958</v>
      </c>
      <c r="Z190" s="279">
        <f t="shared" si="111"/>
        <v>7.3363659175956881</v>
      </c>
      <c r="AA190" s="279">
        <f t="shared" si="111"/>
        <v>7.3763917203138805</v>
      </c>
      <c r="AB190" s="279">
        <f t="shared" si="111"/>
        <v>7.4164175230320728</v>
      </c>
      <c r="AC190" s="279">
        <f t="shared" si="111"/>
        <v>7.4564433257502651</v>
      </c>
      <c r="AD190" s="279">
        <f t="shared" si="111"/>
        <v>7.4964691284684575</v>
      </c>
      <c r="AE190" s="279">
        <f t="shared" si="111"/>
        <v>7.5364949311866498</v>
      </c>
      <c r="AF190" s="279">
        <f t="shared" si="111"/>
        <v>7.5765207339048422</v>
      </c>
      <c r="AG190" s="279">
        <f t="shared" si="111"/>
        <v>7.6165465366230345</v>
      </c>
      <c r="AH190" s="279">
        <f t="shared" si="111"/>
        <v>7.6565723393412268</v>
      </c>
      <c r="AI190" s="279">
        <f t="shared" si="111"/>
        <v>7.6965981420594192</v>
      </c>
      <c r="AJ190" s="279">
        <f t="shared" si="111"/>
        <v>7.7366239447776115</v>
      </c>
      <c r="AK190" s="279"/>
      <c r="AL190" s="279"/>
      <c r="AM190" s="279"/>
      <c r="AN190" s="279"/>
      <c r="AO190" s="10"/>
      <c r="AP190" s="10"/>
    </row>
    <row r="191" spans="1:42">
      <c r="A191" s="227" t="s">
        <v>17</v>
      </c>
      <c r="B191" s="227" t="str">
        <f t="shared" si="112"/>
        <v>TPPUBRT</v>
      </c>
      <c r="C191" s="227" t="str">
        <f t="shared" si="112"/>
        <v>BRT vehicle km</v>
      </c>
      <c r="E191" s="10">
        <f t="shared" si="109"/>
        <v>2.2906920429003982E-2</v>
      </c>
      <c r="F191" s="10">
        <f t="shared" si="109"/>
        <v>2.4038015749660205E-2</v>
      </c>
      <c r="G191" s="10">
        <f t="shared" si="109"/>
        <v>2.4835389271761269E-2</v>
      </c>
      <c r="H191" s="10">
        <f t="shared" si="109"/>
        <v>0.21900795555968994</v>
      </c>
      <c r="I191" s="10">
        <f t="shared" si="109"/>
        <v>0.5292279445207515</v>
      </c>
      <c r="J191" s="10">
        <f t="shared" si="109"/>
        <v>1.0239588709688945</v>
      </c>
      <c r="K191" s="10">
        <f t="shared" si="109"/>
        <v>1.5809012908187998</v>
      </c>
      <c r="L191" s="297">
        <f t="shared" si="110"/>
        <v>2.2906920429003982E-2</v>
      </c>
      <c r="M191" s="279">
        <f t="shared" si="111"/>
        <v>4.240391441000696E-2</v>
      </c>
      <c r="N191" s="279">
        <f t="shared" si="111"/>
        <v>6.1900908391009937E-2</v>
      </c>
      <c r="O191" s="279">
        <f t="shared" si="111"/>
        <v>8.1397902372012915E-2</v>
      </c>
      <c r="P191" s="279">
        <f t="shared" si="111"/>
        <v>0.10089489635301589</v>
      </c>
      <c r="Q191" s="279">
        <f t="shared" si="111"/>
        <v>0.12039189033401887</v>
      </c>
      <c r="R191" s="279">
        <f t="shared" si="111"/>
        <v>0.13988888431502183</v>
      </c>
      <c r="S191" s="279">
        <f t="shared" si="111"/>
        <v>0.1593858782960248</v>
      </c>
      <c r="T191" s="279">
        <f t="shared" si="111"/>
        <v>0.17888287227702776</v>
      </c>
      <c r="U191" s="279">
        <f t="shared" si="111"/>
        <v>0.19837986625803072</v>
      </c>
      <c r="V191" s="279">
        <f t="shared" si="111"/>
        <v>0.21787686023903369</v>
      </c>
      <c r="W191" s="279">
        <f t="shared" si="111"/>
        <v>0.23737385422003665</v>
      </c>
      <c r="X191" s="279">
        <f t="shared" si="111"/>
        <v>0.25687084820103961</v>
      </c>
      <c r="Y191" s="279">
        <f t="shared" si="111"/>
        <v>0.27636784218204258</v>
      </c>
      <c r="Z191" s="279">
        <f t="shared" si="111"/>
        <v>0.29586483616304554</v>
      </c>
      <c r="AA191" s="279">
        <f t="shared" si="111"/>
        <v>0.3153618301440485</v>
      </c>
      <c r="AB191" s="279">
        <f t="shared" si="111"/>
        <v>0.33485882412505147</v>
      </c>
      <c r="AC191" s="279">
        <f t="shared" si="111"/>
        <v>0.35435581810605443</v>
      </c>
      <c r="AD191" s="279">
        <f t="shared" si="111"/>
        <v>0.3738528120870574</v>
      </c>
      <c r="AE191" s="279">
        <f t="shared" si="111"/>
        <v>0.39334980606806036</v>
      </c>
      <c r="AF191" s="279">
        <f t="shared" si="111"/>
        <v>0.41284680004906332</v>
      </c>
      <c r="AG191" s="279">
        <f t="shared" si="111"/>
        <v>0.43234379403006629</v>
      </c>
      <c r="AH191" s="279">
        <f t="shared" si="111"/>
        <v>0.45184078801106925</v>
      </c>
      <c r="AI191" s="279">
        <f t="shared" si="111"/>
        <v>0.47133778199207221</v>
      </c>
      <c r="AJ191" s="279">
        <f t="shared" si="111"/>
        <v>0.49083477597307518</v>
      </c>
      <c r="AK191" s="279"/>
      <c r="AL191" s="279"/>
      <c r="AM191" s="279"/>
      <c r="AN191" s="279"/>
      <c r="AO191" s="10"/>
      <c r="AP191" s="10"/>
    </row>
    <row r="192" spans="1:42">
      <c r="A192" s="227" t="s">
        <v>17</v>
      </c>
      <c r="B192" s="227" t="str">
        <f t="shared" si="112"/>
        <v>TPPUMER</v>
      </c>
      <c r="C192" s="227" t="str">
        <f t="shared" si="112"/>
        <v>Metro Rail pkm</v>
      </c>
      <c r="E192" s="10">
        <f t="shared" si="109"/>
        <v>16.476318403814556</v>
      </c>
      <c r="F192" s="10">
        <f t="shared" si="109"/>
        <v>17.636861333338672</v>
      </c>
      <c r="G192" s="10">
        <f t="shared" si="109"/>
        <v>17.823963957682881</v>
      </c>
      <c r="H192" s="10">
        <f t="shared" si="109"/>
        <v>17.751076242468041</v>
      </c>
      <c r="I192" s="10">
        <f t="shared" si="109"/>
        <v>13.450574262498447</v>
      </c>
      <c r="J192" s="10">
        <f t="shared" si="109"/>
        <v>16.361591962113614</v>
      </c>
      <c r="K192" s="10">
        <f t="shared" si="109"/>
        <v>21.628124937733357</v>
      </c>
      <c r="L192" s="297">
        <f t="shared" si="110"/>
        <v>16.476318403814556</v>
      </c>
      <c r="M192" s="279">
        <f t="shared" si="111"/>
        <v>16.487739894727493</v>
      </c>
      <c r="N192" s="279">
        <f t="shared" si="111"/>
        <v>16.499161385640431</v>
      </c>
      <c r="O192" s="279">
        <f t="shared" si="111"/>
        <v>16.510582876553368</v>
      </c>
      <c r="P192" s="279">
        <f t="shared" si="111"/>
        <v>16.522004367466305</v>
      </c>
      <c r="Q192" s="279">
        <f t="shared" si="111"/>
        <v>16.533425858379243</v>
      </c>
      <c r="R192" s="279">
        <f t="shared" si="111"/>
        <v>16.54484734929218</v>
      </c>
      <c r="S192" s="279">
        <f t="shared" si="111"/>
        <v>16.556268840205117</v>
      </c>
      <c r="T192" s="279">
        <f t="shared" si="111"/>
        <v>16.567690331118055</v>
      </c>
      <c r="U192" s="279">
        <f t="shared" si="111"/>
        <v>16.579111822030992</v>
      </c>
      <c r="V192" s="279">
        <f t="shared" si="111"/>
        <v>16.590533312943929</v>
      </c>
      <c r="W192" s="279">
        <f t="shared" si="111"/>
        <v>16.601954803856867</v>
      </c>
      <c r="X192" s="279">
        <f t="shared" si="111"/>
        <v>16.613376294769804</v>
      </c>
      <c r="Y192" s="279">
        <f t="shared" si="111"/>
        <v>16.624797785682741</v>
      </c>
      <c r="Z192" s="279">
        <f t="shared" si="111"/>
        <v>16.636219276595678</v>
      </c>
      <c r="AA192" s="279">
        <f t="shared" si="111"/>
        <v>16.647640767508616</v>
      </c>
      <c r="AB192" s="279">
        <f t="shared" si="111"/>
        <v>16.659062258421553</v>
      </c>
      <c r="AC192" s="279">
        <f t="shared" si="111"/>
        <v>16.67048374933449</v>
      </c>
      <c r="AD192" s="279">
        <f t="shared" si="111"/>
        <v>16.681905240247428</v>
      </c>
      <c r="AE192" s="279">
        <f t="shared" si="111"/>
        <v>16.693326731160365</v>
      </c>
      <c r="AF192" s="279">
        <f t="shared" si="111"/>
        <v>16.704748222073302</v>
      </c>
      <c r="AG192" s="279">
        <f t="shared" si="111"/>
        <v>16.71616971298624</v>
      </c>
      <c r="AH192" s="279">
        <f t="shared" si="111"/>
        <v>16.727591203899177</v>
      </c>
      <c r="AI192" s="279">
        <f t="shared" si="111"/>
        <v>16.739012694812114</v>
      </c>
      <c r="AJ192" s="279">
        <f t="shared" si="111"/>
        <v>16.750434185725052</v>
      </c>
      <c r="AK192" s="279"/>
      <c r="AL192" s="279"/>
      <c r="AM192" s="279"/>
      <c r="AN192" s="279"/>
      <c r="AO192" s="10"/>
      <c r="AP192" s="10"/>
    </row>
    <row r="193" spans="1:60">
      <c r="A193" s="227" t="s">
        <v>17</v>
      </c>
      <c r="B193" s="227" t="str">
        <f t="shared" si="112"/>
        <v>TPPUGAT</v>
      </c>
      <c r="C193" s="227" t="str">
        <f t="shared" si="112"/>
        <v>Gautrain pkm</v>
      </c>
      <c r="E193" s="10">
        <f t="shared" si="109"/>
        <v>0.61971821350573497</v>
      </c>
      <c r="F193" s="10">
        <f t="shared" si="109"/>
        <v>0.65899656287368868</v>
      </c>
      <c r="G193" s="10">
        <f t="shared" si="109"/>
        <v>0.68751914380675005</v>
      </c>
      <c r="H193" s="10">
        <f t="shared" si="109"/>
        <v>0.73142817808853577</v>
      </c>
      <c r="I193" s="10">
        <f t="shared" si="109"/>
        <v>0.88344238904657568</v>
      </c>
      <c r="J193" s="10">
        <f t="shared" si="109"/>
        <v>1.0536429287304157</v>
      </c>
      <c r="K193" s="10">
        <f t="shared" si="109"/>
        <v>1.2274010452801494</v>
      </c>
      <c r="L193" s="297">
        <f t="shared" si="110"/>
        <v>0.61971821350573497</v>
      </c>
      <c r="M193" s="279">
        <f t="shared" si="111"/>
        <v>0.62696137502721971</v>
      </c>
      <c r="N193" s="279">
        <f t="shared" si="111"/>
        <v>0.63420453654870446</v>
      </c>
      <c r="O193" s="279">
        <f t="shared" si="111"/>
        <v>0.6414476980701892</v>
      </c>
      <c r="P193" s="279">
        <f t="shared" si="111"/>
        <v>0.64869085959167394</v>
      </c>
      <c r="Q193" s="279">
        <f t="shared" si="111"/>
        <v>0.65593402111315868</v>
      </c>
      <c r="R193" s="279">
        <f t="shared" si="111"/>
        <v>0.66317718263464343</v>
      </c>
      <c r="S193" s="279">
        <f t="shared" si="111"/>
        <v>0.67042034415612817</v>
      </c>
      <c r="T193" s="279">
        <f t="shared" si="111"/>
        <v>0.67766350567761291</v>
      </c>
      <c r="U193" s="279">
        <f t="shared" si="111"/>
        <v>0.68490666719909765</v>
      </c>
      <c r="V193" s="279">
        <f t="shared" si="111"/>
        <v>0.69214982872058239</v>
      </c>
      <c r="W193" s="279">
        <f t="shared" si="111"/>
        <v>0.69939299024206714</v>
      </c>
      <c r="X193" s="279">
        <f t="shared" si="111"/>
        <v>0.70663615176355188</v>
      </c>
      <c r="Y193" s="279">
        <f t="shared" si="111"/>
        <v>0.71387931328503662</v>
      </c>
      <c r="Z193" s="279">
        <f t="shared" si="111"/>
        <v>0.72112247480652136</v>
      </c>
      <c r="AA193" s="279">
        <f t="shared" si="111"/>
        <v>0.72836563632800611</v>
      </c>
      <c r="AB193" s="279">
        <f t="shared" si="111"/>
        <v>0.73560879784949085</v>
      </c>
      <c r="AC193" s="279">
        <f t="shared" si="111"/>
        <v>0.74285195937097559</v>
      </c>
      <c r="AD193" s="279">
        <f t="shared" si="111"/>
        <v>0.75009512089246033</v>
      </c>
      <c r="AE193" s="279">
        <f t="shared" si="111"/>
        <v>0.75733828241394507</v>
      </c>
      <c r="AF193" s="279">
        <f t="shared" si="111"/>
        <v>0.76458144393542982</v>
      </c>
      <c r="AG193" s="279">
        <f t="shared" si="111"/>
        <v>0.77182460545691456</v>
      </c>
      <c r="AH193" s="279">
        <f t="shared" si="111"/>
        <v>0.7790677669783993</v>
      </c>
      <c r="AI193" s="279">
        <f t="shared" si="111"/>
        <v>0.78631092849988404</v>
      </c>
      <c r="AJ193" s="279">
        <f t="shared" si="111"/>
        <v>0.79355409002136879</v>
      </c>
      <c r="AK193" s="279"/>
      <c r="AL193" s="279"/>
      <c r="AM193" s="279"/>
      <c r="AN193" s="279"/>
      <c r="AO193" s="10"/>
      <c r="AP193" s="10"/>
    </row>
    <row r="194" spans="1:60">
      <c r="E194" s="10"/>
      <c r="F194" s="10"/>
      <c r="G194" s="10"/>
      <c r="H194" s="10"/>
      <c r="I194" s="10"/>
      <c r="J194" s="10"/>
      <c r="K194" s="10"/>
      <c r="L194" s="297"/>
      <c r="M194" s="279"/>
      <c r="N194" s="279"/>
      <c r="O194" s="279"/>
      <c r="P194" s="279"/>
      <c r="Q194" s="279"/>
      <c r="R194" s="279"/>
      <c r="S194" s="279"/>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10"/>
      <c r="AP194" s="10"/>
    </row>
    <row r="195" spans="1:60" ht="21.6">
      <c r="A195" s="227" t="s">
        <v>17</v>
      </c>
      <c r="B195" s="16" t="s">
        <v>19</v>
      </c>
      <c r="C195" s="16" t="s">
        <v>20</v>
      </c>
      <c r="D195" s="16" t="s">
        <v>21</v>
      </c>
      <c r="E195" s="16" t="s">
        <v>22</v>
      </c>
      <c r="F195" s="16" t="s">
        <v>23</v>
      </c>
      <c r="G195" s="16" t="s">
        <v>24</v>
      </c>
      <c r="H195" s="16" t="s">
        <v>25</v>
      </c>
      <c r="I195" s="17" t="s">
        <v>26</v>
      </c>
      <c r="J195" s="18">
        <v>2012</v>
      </c>
      <c r="K195" s="18">
        <f t="shared" ref="K195:AL195" si="113">1+J195</f>
        <v>2013</v>
      </c>
      <c r="L195" s="18">
        <f t="shared" si="113"/>
        <v>2014</v>
      </c>
      <c r="M195" s="18">
        <f>1+L195</f>
        <v>2015</v>
      </c>
      <c r="N195" s="18">
        <f t="shared" si="113"/>
        <v>2016</v>
      </c>
      <c r="O195" s="18">
        <f t="shared" si="113"/>
        <v>2017</v>
      </c>
      <c r="P195" s="18">
        <f t="shared" si="113"/>
        <v>2018</v>
      </c>
      <c r="Q195" s="18">
        <f t="shared" si="113"/>
        <v>2019</v>
      </c>
      <c r="R195" s="18">
        <f t="shared" si="113"/>
        <v>2020</v>
      </c>
      <c r="S195" s="18">
        <f t="shared" si="113"/>
        <v>2021</v>
      </c>
      <c r="T195" s="18">
        <f t="shared" si="113"/>
        <v>2022</v>
      </c>
      <c r="U195" s="18">
        <f t="shared" si="113"/>
        <v>2023</v>
      </c>
      <c r="V195" s="18">
        <f t="shared" si="113"/>
        <v>2024</v>
      </c>
      <c r="W195" s="18">
        <f t="shared" si="113"/>
        <v>2025</v>
      </c>
      <c r="X195" s="18">
        <f t="shared" si="113"/>
        <v>2026</v>
      </c>
      <c r="Y195" s="18">
        <f t="shared" si="113"/>
        <v>2027</v>
      </c>
      <c r="Z195" s="18">
        <f t="shared" si="113"/>
        <v>2028</v>
      </c>
      <c r="AA195" s="18">
        <f t="shared" si="113"/>
        <v>2029</v>
      </c>
      <c r="AB195" s="18">
        <f t="shared" si="113"/>
        <v>2030</v>
      </c>
      <c r="AC195" s="18">
        <f t="shared" si="113"/>
        <v>2031</v>
      </c>
      <c r="AD195" s="18">
        <f t="shared" si="113"/>
        <v>2032</v>
      </c>
      <c r="AE195" s="18">
        <f t="shared" si="113"/>
        <v>2033</v>
      </c>
      <c r="AF195" s="18">
        <f t="shared" si="113"/>
        <v>2034</v>
      </c>
      <c r="AG195" s="18">
        <f t="shared" si="113"/>
        <v>2035</v>
      </c>
      <c r="AH195" s="18">
        <f t="shared" si="113"/>
        <v>2036</v>
      </c>
      <c r="AI195" s="18">
        <f t="shared" si="113"/>
        <v>2037</v>
      </c>
      <c r="AJ195" s="18">
        <f t="shared" si="113"/>
        <v>2038</v>
      </c>
      <c r="AK195" s="18">
        <f t="shared" si="113"/>
        <v>2039</v>
      </c>
      <c r="AL195" s="18">
        <f t="shared" si="113"/>
        <v>2040</v>
      </c>
      <c r="AM195" s="18">
        <v>2045</v>
      </c>
      <c r="AN195" s="18">
        <v>2050</v>
      </c>
      <c r="AO195" s="18">
        <v>2060</v>
      </c>
      <c r="AP195" s="18">
        <v>2070</v>
      </c>
      <c r="AR195" s="18"/>
      <c r="AS195" s="18"/>
      <c r="AV195" s="18"/>
      <c r="AW195" s="18"/>
      <c r="BG195" s="18">
        <v>2012</v>
      </c>
      <c r="BH195" s="18"/>
    </row>
    <row r="196" spans="1:60" s="233" customFormat="1">
      <c r="A196" s="137" t="s">
        <v>17</v>
      </c>
      <c r="B196" s="233" t="s">
        <v>404</v>
      </c>
      <c r="C196" s="233">
        <v>1</v>
      </c>
      <c r="D196" s="233">
        <v>2012</v>
      </c>
      <c r="E196" s="233">
        <v>2015</v>
      </c>
      <c r="F196" s="233">
        <v>2020</v>
      </c>
      <c r="G196" s="233">
        <v>2030</v>
      </c>
      <c r="H196" s="233">
        <v>2040</v>
      </c>
      <c r="I196" s="283">
        <v>2050</v>
      </c>
      <c r="J196" s="137">
        <f>MATCH(J$209,$D$210:$I$210,$C196)</f>
        <v>1</v>
      </c>
      <c r="K196" s="233">
        <f>MATCH(K$195,$D$196:$I$196,$C196)</f>
        <v>1</v>
      </c>
      <c r="L196" s="233">
        <f t="shared" ref="L196:AA197" si="114">MATCH(L$209,$D$210:$I$210,$C196)</f>
        <v>1</v>
      </c>
      <c r="M196" s="233">
        <f t="shared" si="114"/>
        <v>2</v>
      </c>
      <c r="N196" s="233">
        <f t="shared" si="114"/>
        <v>2</v>
      </c>
      <c r="O196" s="233">
        <f t="shared" si="114"/>
        <v>2</v>
      </c>
      <c r="P196" s="233">
        <f t="shared" si="114"/>
        <v>2</v>
      </c>
      <c r="Q196" s="233">
        <f t="shared" si="114"/>
        <v>2</v>
      </c>
      <c r="R196" s="233">
        <f t="shared" si="114"/>
        <v>3</v>
      </c>
      <c r="S196" s="233">
        <f t="shared" si="114"/>
        <v>3</v>
      </c>
      <c r="T196" s="233">
        <f t="shared" si="114"/>
        <v>3</v>
      </c>
      <c r="U196" s="233">
        <f t="shared" si="114"/>
        <v>3</v>
      </c>
      <c r="V196" s="233">
        <f t="shared" si="114"/>
        <v>3</v>
      </c>
      <c r="W196" s="233">
        <f t="shared" si="114"/>
        <v>3</v>
      </c>
      <c r="X196" s="233">
        <f t="shared" si="114"/>
        <v>3</v>
      </c>
      <c r="Y196" s="233">
        <f t="shared" si="114"/>
        <v>3</v>
      </c>
      <c r="Z196" s="233">
        <f t="shared" si="114"/>
        <v>3</v>
      </c>
      <c r="AA196" s="233">
        <f t="shared" si="114"/>
        <v>3</v>
      </c>
      <c r="AB196" s="233">
        <f t="shared" ref="AB196:AP197" si="115">MATCH(AB$209,$D$210:$I$210,$C196)</f>
        <v>4</v>
      </c>
      <c r="AC196" s="233">
        <f t="shared" si="115"/>
        <v>4</v>
      </c>
      <c r="AD196" s="233">
        <f t="shared" si="115"/>
        <v>4</v>
      </c>
      <c r="AE196" s="233">
        <f t="shared" si="115"/>
        <v>4</v>
      </c>
      <c r="AF196" s="233">
        <f t="shared" si="115"/>
        <v>4</v>
      </c>
      <c r="AG196" s="233">
        <f t="shared" si="115"/>
        <v>4</v>
      </c>
      <c r="AH196" s="233">
        <f t="shared" si="115"/>
        <v>4</v>
      </c>
      <c r="AI196" s="233">
        <f t="shared" si="115"/>
        <v>4</v>
      </c>
      <c r="AJ196" s="233">
        <f t="shared" si="115"/>
        <v>4</v>
      </c>
      <c r="AK196" s="233">
        <f t="shared" si="115"/>
        <v>4</v>
      </c>
      <c r="AL196" s="233">
        <f t="shared" si="115"/>
        <v>5</v>
      </c>
      <c r="AM196" s="233">
        <f t="shared" si="115"/>
        <v>5</v>
      </c>
      <c r="AN196" s="233">
        <f t="shared" si="115"/>
        <v>6</v>
      </c>
      <c r="AO196" s="233">
        <f t="shared" si="115"/>
        <v>6</v>
      </c>
      <c r="AP196" s="233">
        <f t="shared" si="115"/>
        <v>6</v>
      </c>
      <c r="BG196" s="137">
        <f>MATCH(BG$209,$D$210:$I$210,$C196)</f>
        <v>1</v>
      </c>
    </row>
    <row r="197" spans="1:60">
      <c r="A197" s="41" t="s">
        <v>17</v>
      </c>
      <c r="B197" s="227" t="s">
        <v>405</v>
      </c>
      <c r="C197" s="227">
        <v>0</v>
      </c>
      <c r="D197" s="227">
        <f t="shared" ref="D197:I197" si="116">INDEX($D196:$I196,0,COUNT($D196:$I196)-D198)</f>
        <v>2050</v>
      </c>
      <c r="E197" s="227">
        <f t="shared" si="116"/>
        <v>2040</v>
      </c>
      <c r="F197" s="227">
        <f t="shared" si="116"/>
        <v>2030</v>
      </c>
      <c r="G197" s="227">
        <f t="shared" si="116"/>
        <v>2020</v>
      </c>
      <c r="H197" s="227">
        <f t="shared" si="116"/>
        <v>2015</v>
      </c>
      <c r="I197" s="144">
        <f t="shared" si="116"/>
        <v>2012</v>
      </c>
      <c r="J197" s="41">
        <f>MATCH(J$209,$D$210:$I$210,$C197)</f>
        <v>1</v>
      </c>
      <c r="K197" s="227" t="e">
        <f>MATCH(K$209,$D$196:$I$196,$C197)</f>
        <v>#N/A</v>
      </c>
      <c r="L197" s="227" t="e">
        <f t="shared" si="114"/>
        <v>#N/A</v>
      </c>
      <c r="M197" s="227">
        <f t="shared" si="114"/>
        <v>2</v>
      </c>
      <c r="N197" s="227" t="e">
        <f t="shared" si="114"/>
        <v>#N/A</v>
      </c>
      <c r="O197" s="227" t="e">
        <f t="shared" si="114"/>
        <v>#N/A</v>
      </c>
      <c r="P197" s="227" t="e">
        <f t="shared" si="114"/>
        <v>#N/A</v>
      </c>
      <c r="Q197" s="227" t="e">
        <f t="shared" si="114"/>
        <v>#N/A</v>
      </c>
      <c r="R197" s="227">
        <f t="shared" si="114"/>
        <v>3</v>
      </c>
      <c r="S197" s="227" t="e">
        <f t="shared" si="114"/>
        <v>#N/A</v>
      </c>
      <c r="T197" s="227" t="e">
        <f t="shared" si="114"/>
        <v>#N/A</v>
      </c>
      <c r="U197" s="227" t="e">
        <f t="shared" si="114"/>
        <v>#N/A</v>
      </c>
      <c r="V197" s="227" t="e">
        <f t="shared" si="114"/>
        <v>#N/A</v>
      </c>
      <c r="W197" s="227" t="e">
        <f t="shared" si="114"/>
        <v>#N/A</v>
      </c>
      <c r="X197" s="227" t="e">
        <f t="shared" si="114"/>
        <v>#N/A</v>
      </c>
      <c r="Y197" s="227" t="e">
        <f t="shared" si="114"/>
        <v>#N/A</v>
      </c>
      <c r="Z197" s="227" t="e">
        <f t="shared" si="114"/>
        <v>#N/A</v>
      </c>
      <c r="AA197" s="227" t="e">
        <f t="shared" si="114"/>
        <v>#N/A</v>
      </c>
      <c r="AB197" s="227">
        <f t="shared" si="115"/>
        <v>4</v>
      </c>
      <c r="AC197" s="227" t="e">
        <f t="shared" si="115"/>
        <v>#N/A</v>
      </c>
      <c r="AD197" s="227" t="e">
        <f t="shared" si="115"/>
        <v>#N/A</v>
      </c>
      <c r="AE197" s="227" t="e">
        <f t="shared" si="115"/>
        <v>#N/A</v>
      </c>
      <c r="AF197" s="227" t="e">
        <f t="shared" si="115"/>
        <v>#N/A</v>
      </c>
      <c r="AG197" s="227" t="e">
        <f t="shared" si="115"/>
        <v>#N/A</v>
      </c>
      <c r="AH197" s="227" t="e">
        <f t="shared" si="115"/>
        <v>#N/A</v>
      </c>
      <c r="AI197" s="227" t="e">
        <f t="shared" si="115"/>
        <v>#N/A</v>
      </c>
      <c r="AJ197" s="227" t="e">
        <f t="shared" si="115"/>
        <v>#N/A</v>
      </c>
      <c r="AK197" s="227" t="e">
        <f t="shared" si="115"/>
        <v>#N/A</v>
      </c>
      <c r="AL197" s="227">
        <f t="shared" si="115"/>
        <v>5</v>
      </c>
      <c r="AM197" s="227" t="e">
        <f t="shared" si="115"/>
        <v>#N/A</v>
      </c>
      <c r="AN197" s="227">
        <f t="shared" si="115"/>
        <v>6</v>
      </c>
      <c r="AO197" s="227" t="e">
        <f t="shared" si="115"/>
        <v>#N/A</v>
      </c>
      <c r="AP197" s="227" t="e">
        <f t="shared" si="115"/>
        <v>#N/A</v>
      </c>
      <c r="BG197" s="41">
        <f>MATCH(BG$209,$D$210:$I$210,$C197)</f>
        <v>1</v>
      </c>
    </row>
    <row r="198" spans="1:60">
      <c r="A198" s="41" t="s">
        <v>17</v>
      </c>
      <c r="B198" s="227" t="s">
        <v>403</v>
      </c>
      <c r="C198" s="227">
        <v>-1</v>
      </c>
      <c r="D198" s="227">
        <v>0</v>
      </c>
      <c r="E198" s="227">
        <v>1</v>
      </c>
      <c r="F198" s="227">
        <v>2</v>
      </c>
      <c r="G198" s="227">
        <v>3</v>
      </c>
      <c r="H198" s="227">
        <v>4</v>
      </c>
      <c r="I198" s="227">
        <v>5</v>
      </c>
      <c r="J198" s="227">
        <f>MATCH(J$209,$D$211:$I$211,$C198)</f>
        <v>6</v>
      </c>
      <c r="K198" s="227">
        <f>MATCH(K$209,$D$197:$I$197,$C198)</f>
        <v>5</v>
      </c>
      <c r="L198" s="227">
        <f t="shared" ref="L198:AP198" si="117">MATCH(L$209,$D$211:$I$211,$C198)</f>
        <v>5</v>
      </c>
      <c r="M198" s="227">
        <f t="shared" si="117"/>
        <v>5</v>
      </c>
      <c r="N198" s="227">
        <f t="shared" si="117"/>
        <v>4</v>
      </c>
      <c r="O198" s="227">
        <f t="shared" si="117"/>
        <v>4</v>
      </c>
      <c r="P198" s="227">
        <f t="shared" si="117"/>
        <v>4</v>
      </c>
      <c r="Q198" s="227">
        <f t="shared" si="117"/>
        <v>4</v>
      </c>
      <c r="R198" s="227">
        <f t="shared" si="117"/>
        <v>4</v>
      </c>
      <c r="S198" s="227">
        <f t="shared" si="117"/>
        <v>3</v>
      </c>
      <c r="T198" s="227">
        <f t="shared" si="117"/>
        <v>3</v>
      </c>
      <c r="U198" s="227">
        <f t="shared" si="117"/>
        <v>3</v>
      </c>
      <c r="V198" s="227">
        <f t="shared" si="117"/>
        <v>3</v>
      </c>
      <c r="W198" s="227">
        <f t="shared" si="117"/>
        <v>3</v>
      </c>
      <c r="X198" s="227">
        <f t="shared" si="117"/>
        <v>3</v>
      </c>
      <c r="Y198" s="227">
        <f t="shared" si="117"/>
        <v>3</v>
      </c>
      <c r="Z198" s="227">
        <f t="shared" si="117"/>
        <v>3</v>
      </c>
      <c r="AA198" s="227">
        <f t="shared" si="117"/>
        <v>3</v>
      </c>
      <c r="AB198" s="227">
        <f t="shared" si="117"/>
        <v>3</v>
      </c>
      <c r="AC198" s="227">
        <f t="shared" si="117"/>
        <v>2</v>
      </c>
      <c r="AD198" s="227">
        <f t="shared" si="117"/>
        <v>2</v>
      </c>
      <c r="AE198" s="227">
        <f t="shared" si="117"/>
        <v>2</v>
      </c>
      <c r="AF198" s="227">
        <f t="shared" si="117"/>
        <v>2</v>
      </c>
      <c r="AG198" s="227">
        <f t="shared" si="117"/>
        <v>2</v>
      </c>
      <c r="AH198" s="227">
        <f t="shared" si="117"/>
        <v>2</v>
      </c>
      <c r="AI198" s="227">
        <f t="shared" si="117"/>
        <v>2</v>
      </c>
      <c r="AJ198" s="227">
        <f t="shared" si="117"/>
        <v>2</v>
      </c>
      <c r="AK198" s="227">
        <f t="shared" si="117"/>
        <v>2</v>
      </c>
      <c r="AL198" s="227">
        <f t="shared" si="117"/>
        <v>2</v>
      </c>
      <c r="AM198" s="227">
        <f t="shared" si="117"/>
        <v>1</v>
      </c>
      <c r="AN198" s="227">
        <f t="shared" si="117"/>
        <v>1</v>
      </c>
      <c r="AO198" s="227" t="e">
        <f t="shared" si="117"/>
        <v>#N/A</v>
      </c>
      <c r="AP198" s="227" t="e">
        <f t="shared" si="117"/>
        <v>#N/A</v>
      </c>
      <c r="BG198" s="227">
        <f>MATCH(BG$209,$D$211:$I$211,$C198)</f>
        <v>6</v>
      </c>
    </row>
    <row r="199" spans="1:60" s="140" customFormat="1">
      <c r="A199" s="139" t="s">
        <v>17</v>
      </c>
      <c r="B199" s="140" t="s">
        <v>406</v>
      </c>
      <c r="I199" s="145"/>
      <c r="J199" s="231">
        <f>IF(ISNA(J196),-1,IF(ISNA(J198),99,IF(ISNA(J197),J196,0)))</f>
        <v>0</v>
      </c>
      <c r="K199" s="231">
        <f>IF(ISNA(K196),-1,IF(ISNA(K198),99,IF(ISNA(K197),K196,0)))</f>
        <v>1</v>
      </c>
      <c r="L199" s="231">
        <f t="shared" ref="L199:AP199" si="118">IF(ISNA(L196),-1,IF(ISNA(L198),99,IF(ISNA(L197),L196,0)))</f>
        <v>1</v>
      </c>
      <c r="M199" s="231">
        <f t="shared" si="118"/>
        <v>0</v>
      </c>
      <c r="N199" s="231">
        <f t="shared" si="118"/>
        <v>2</v>
      </c>
      <c r="O199" s="231">
        <f t="shared" si="118"/>
        <v>2</v>
      </c>
      <c r="P199" s="231">
        <f t="shared" si="118"/>
        <v>2</v>
      </c>
      <c r="Q199" s="231">
        <f t="shared" si="118"/>
        <v>2</v>
      </c>
      <c r="R199" s="231">
        <f t="shared" si="118"/>
        <v>0</v>
      </c>
      <c r="S199" s="231">
        <f t="shared" si="118"/>
        <v>3</v>
      </c>
      <c r="T199" s="231">
        <f t="shared" si="118"/>
        <v>3</v>
      </c>
      <c r="U199" s="231">
        <f t="shared" si="118"/>
        <v>3</v>
      </c>
      <c r="V199" s="231">
        <f t="shared" si="118"/>
        <v>3</v>
      </c>
      <c r="W199" s="231">
        <f t="shared" si="118"/>
        <v>3</v>
      </c>
      <c r="X199" s="231">
        <f t="shared" si="118"/>
        <v>3</v>
      </c>
      <c r="Y199" s="231">
        <f t="shared" si="118"/>
        <v>3</v>
      </c>
      <c r="Z199" s="231">
        <f t="shared" si="118"/>
        <v>3</v>
      </c>
      <c r="AA199" s="231">
        <f t="shared" si="118"/>
        <v>3</v>
      </c>
      <c r="AB199" s="231">
        <f t="shared" si="118"/>
        <v>0</v>
      </c>
      <c r="AC199" s="231">
        <f t="shared" si="118"/>
        <v>4</v>
      </c>
      <c r="AD199" s="231">
        <f t="shared" si="118"/>
        <v>4</v>
      </c>
      <c r="AE199" s="231">
        <f t="shared" si="118"/>
        <v>4</v>
      </c>
      <c r="AF199" s="231">
        <f t="shared" si="118"/>
        <v>4</v>
      </c>
      <c r="AG199" s="231">
        <f t="shared" si="118"/>
        <v>4</v>
      </c>
      <c r="AH199" s="231">
        <f t="shared" si="118"/>
        <v>4</v>
      </c>
      <c r="AI199" s="231">
        <f t="shared" si="118"/>
        <v>4</v>
      </c>
      <c r="AJ199" s="231">
        <f t="shared" si="118"/>
        <v>4</v>
      </c>
      <c r="AK199" s="231">
        <f t="shared" si="118"/>
        <v>4</v>
      </c>
      <c r="AL199" s="231">
        <f t="shared" si="118"/>
        <v>0</v>
      </c>
      <c r="AM199" s="231">
        <f t="shared" si="118"/>
        <v>5</v>
      </c>
      <c r="AN199" s="231">
        <f t="shared" si="118"/>
        <v>0</v>
      </c>
      <c r="AO199" s="231">
        <f t="shared" si="118"/>
        <v>99</v>
      </c>
      <c r="AP199" s="231">
        <f t="shared" si="118"/>
        <v>99</v>
      </c>
      <c r="AR199" s="231"/>
      <c r="AS199" s="231"/>
      <c r="AV199" s="231"/>
      <c r="AW199" s="231"/>
      <c r="BG199" s="231">
        <f>IF(ISNA(BG196),-1,IF(ISNA(BG198),99,IF(ISNA(BG197),BG196,0)))</f>
        <v>0</v>
      </c>
      <c r="BH199" s="231"/>
    </row>
    <row r="200" spans="1:60">
      <c r="A200" s="227" t="s">
        <v>17</v>
      </c>
      <c r="B200" s="22" t="str">
        <f t="shared" ref="B200:B207" si="119">IF(A200="*","","COM_PROJ")</f>
        <v/>
      </c>
      <c r="C200" s="23" t="str">
        <f t="shared" ref="C200:C207" si="120">IF($A200="*","","-")</f>
        <v/>
      </c>
      <c r="D200" s="61" t="str">
        <f t="shared" ref="D200:D207" si="121">B172</f>
        <v>TPPRCAR</v>
      </c>
      <c r="E200" s="23" t="str">
        <f t="shared" ref="E200:H207" si="122">IF($A200="*","","-")</f>
        <v/>
      </c>
      <c r="F200" s="23" t="str">
        <f t="shared" si="122"/>
        <v/>
      </c>
      <c r="G200" s="23" t="str">
        <f t="shared" si="122"/>
        <v/>
      </c>
      <c r="H200" s="23" t="str">
        <f t="shared" si="122"/>
        <v/>
      </c>
      <c r="I200" s="22" t="str">
        <f t="shared" ref="I200:I207" si="123">IF(A200="*","",0)</f>
        <v/>
      </c>
      <c r="J200" s="228">
        <f>INDEX('[3]TS BYDem'!J$10:J$59,MATCH($D200,'[3]TS BYDem'!D$10:D$59,0))</f>
        <v>87.436118489606955</v>
      </c>
      <c r="K200" s="228">
        <f t="shared" ref="K200:AO207" si="124">IF(K$199=-1,L200,IF(K$199=99,J200,IF(K$199=0,INDEX($E186:$K186,0,K$197),(INDEX($E186:$K186,0,K$199+1)-INDEX($E186:$K186,0,K$199))/(INDEX($E$185:$K$185,0,K$199+1)-INDEX($E$185:$K$185,0,K$199))+J200)))</f>
        <v>88.690745659738042</v>
      </c>
      <c r="L200" s="228">
        <f t="shared" si="124"/>
        <v>89.945372829869129</v>
      </c>
      <c r="M200" s="228">
        <f t="shared" si="124"/>
        <v>91.2</v>
      </c>
      <c r="N200" s="228">
        <f t="shared" si="124"/>
        <v>92.44</v>
      </c>
      <c r="O200" s="228">
        <f t="shared" si="124"/>
        <v>93.68</v>
      </c>
      <c r="P200" s="228">
        <f t="shared" si="124"/>
        <v>94.920000000000016</v>
      </c>
      <c r="Q200" s="228">
        <f t="shared" si="124"/>
        <v>96.160000000000025</v>
      </c>
      <c r="R200" s="228">
        <f t="shared" si="124"/>
        <v>93.68</v>
      </c>
      <c r="S200" s="228">
        <f t="shared" si="124"/>
        <v>93.721288102870531</v>
      </c>
      <c r="T200" s="228">
        <f t="shared" si="124"/>
        <v>93.762576205741055</v>
      </c>
      <c r="U200" s="228">
        <f t="shared" si="124"/>
        <v>93.80386430861158</v>
      </c>
      <c r="V200" s="228">
        <f t="shared" si="124"/>
        <v>93.845152411482104</v>
      </c>
      <c r="W200" s="228">
        <f t="shared" si="124"/>
        <v>93.886440514352628</v>
      </c>
      <c r="X200" s="228">
        <f t="shared" si="124"/>
        <v>93.927728617223153</v>
      </c>
      <c r="Y200" s="228">
        <f t="shared" si="124"/>
        <v>93.969016720093677</v>
      </c>
      <c r="Z200" s="228">
        <f t="shared" si="124"/>
        <v>94.010304822964201</v>
      </c>
      <c r="AA200" s="228">
        <f t="shared" si="124"/>
        <v>94.051592925834726</v>
      </c>
      <c r="AB200" s="228">
        <f t="shared" si="124"/>
        <v>93.803864308611566</v>
      </c>
      <c r="AC200" s="228">
        <f t="shared" si="124"/>
        <v>95.676061294162153</v>
      </c>
      <c r="AD200" s="228">
        <f t="shared" si="124"/>
        <v>97.548258279712741</v>
      </c>
      <c r="AE200" s="228">
        <f t="shared" si="124"/>
        <v>99.420455265263328</v>
      </c>
      <c r="AF200" s="228">
        <f t="shared" si="124"/>
        <v>101.29265225081392</v>
      </c>
      <c r="AG200" s="228">
        <f t="shared" si="124"/>
        <v>103.1648492363645</v>
      </c>
      <c r="AH200" s="228">
        <f t="shared" si="124"/>
        <v>105.03704622191509</v>
      </c>
      <c r="AI200" s="228">
        <f t="shared" si="124"/>
        <v>106.90924320746568</v>
      </c>
      <c r="AJ200" s="228">
        <f t="shared" si="124"/>
        <v>108.78144019301627</v>
      </c>
      <c r="AK200" s="228">
        <f t="shared" si="124"/>
        <v>110.65363717856685</v>
      </c>
      <c r="AL200" s="228">
        <f t="shared" si="124"/>
        <v>112.52583416411741</v>
      </c>
      <c r="AM200" s="228">
        <f t="shared" si="124"/>
        <v>114.60346253115819</v>
      </c>
      <c r="AN200" s="228">
        <f t="shared" si="124"/>
        <v>133.30211783452521</v>
      </c>
      <c r="AO200" s="228">
        <f t="shared" si="124"/>
        <v>133.30211783452521</v>
      </c>
      <c r="AP200" s="228">
        <f t="shared" ref="AP200:AP207" si="125">IF(AP$199=-1,AR200,IF(AP$199=99,AO200,IF(AP$199=0,INDEX($E186:$K186,0,AP$197),(INDEX($E186:$K186,0,AP$199+1)-INDEX($E186:$K186,0,AP$199))/(INDEX($E$185:$K$185,0,AP$199+1)-INDEX($E$185:$K$185,0,AP$199))+AO200)))</f>
        <v>133.30211783452521</v>
      </c>
      <c r="AR200" s="228"/>
      <c r="AS200" s="228"/>
      <c r="AV200" s="228"/>
      <c r="AW200" s="228"/>
      <c r="BG200" s="228">
        <f t="shared" ref="BG200:BG207" si="126">E186</f>
        <v>87.436118489606741</v>
      </c>
      <c r="BH200" s="130">
        <f t="shared" ref="BH200:BH207" si="127">(J200-BG200)/J200</f>
        <v>2.4379263902636247E-15</v>
      </c>
    </row>
    <row r="201" spans="1:60">
      <c r="A201" s="227" t="s">
        <v>17</v>
      </c>
      <c r="B201" s="22" t="str">
        <f t="shared" si="119"/>
        <v/>
      </c>
      <c r="C201" s="23" t="str">
        <f t="shared" si="120"/>
        <v/>
      </c>
      <c r="D201" s="61" t="str">
        <f t="shared" si="121"/>
        <v>TPPRSUV</v>
      </c>
      <c r="E201" s="23" t="str">
        <f t="shared" si="122"/>
        <v/>
      </c>
      <c r="F201" s="23" t="str">
        <f t="shared" si="122"/>
        <v/>
      </c>
      <c r="G201" s="23" t="str">
        <f t="shared" si="122"/>
        <v/>
      </c>
      <c r="H201" s="23" t="str">
        <f t="shared" si="122"/>
        <v/>
      </c>
      <c r="I201" s="22" t="str">
        <f t="shared" si="123"/>
        <v/>
      </c>
      <c r="J201" s="228">
        <f>INDEX('[3]TS BYDem'!J$10:J$59,MATCH($D201,'[3]TS BYDem'!D$10:D$59,0))</f>
        <v>10.045687245472017</v>
      </c>
      <c r="K201" s="228">
        <f t="shared" si="124"/>
        <v>11.468606546014048</v>
      </c>
      <c r="L201" s="228">
        <f t="shared" si="124"/>
        <v>12.891525846556078</v>
      </c>
      <c r="M201" s="228">
        <f t="shared" si="124"/>
        <v>14.314445147098091</v>
      </c>
      <c r="N201" s="228">
        <f t="shared" si="124"/>
        <v>15.854410734058231</v>
      </c>
      <c r="O201" s="228">
        <f t="shared" si="124"/>
        <v>17.39437632101837</v>
      </c>
      <c r="P201" s="228">
        <f t="shared" si="124"/>
        <v>18.93434190797851</v>
      </c>
      <c r="Q201" s="228">
        <f t="shared" si="124"/>
        <v>20.47430749493865</v>
      </c>
      <c r="R201" s="228">
        <f t="shared" si="124"/>
        <v>17.39437632101837</v>
      </c>
      <c r="S201" s="228">
        <f t="shared" si="124"/>
        <v>15.186483467637832</v>
      </c>
      <c r="T201" s="228">
        <f t="shared" si="124"/>
        <v>12.978590614257293</v>
      </c>
      <c r="U201" s="228">
        <f t="shared" si="124"/>
        <v>10.770697760876754</v>
      </c>
      <c r="V201" s="228">
        <f t="shared" si="124"/>
        <v>8.5628049074962149</v>
      </c>
      <c r="W201" s="228">
        <f t="shared" si="124"/>
        <v>6.3549120541156761</v>
      </c>
      <c r="X201" s="228">
        <f t="shared" si="124"/>
        <v>4.1470192007351372</v>
      </c>
      <c r="Y201" s="228">
        <f t="shared" si="124"/>
        <v>1.9391263473545979</v>
      </c>
      <c r="Z201" s="228">
        <f t="shared" si="124"/>
        <v>-0.26876650602594143</v>
      </c>
      <c r="AA201" s="228">
        <f t="shared" si="124"/>
        <v>-2.4766593594064807</v>
      </c>
      <c r="AB201" s="228">
        <f t="shared" si="124"/>
        <v>10.770697760876752</v>
      </c>
      <c r="AC201" s="228">
        <f t="shared" si="124"/>
        <v>10.985666174265866</v>
      </c>
      <c r="AD201" s="228">
        <f t="shared" si="124"/>
        <v>11.20063458765498</v>
      </c>
      <c r="AE201" s="228">
        <f t="shared" si="124"/>
        <v>11.415603001044094</v>
      </c>
      <c r="AF201" s="228">
        <f t="shared" si="124"/>
        <v>11.630571414433208</v>
      </c>
      <c r="AG201" s="228">
        <f t="shared" si="124"/>
        <v>11.845539827822321</v>
      </c>
      <c r="AH201" s="228">
        <f t="shared" si="124"/>
        <v>12.060508241211435</v>
      </c>
      <c r="AI201" s="228">
        <f t="shared" si="124"/>
        <v>12.275476654600549</v>
      </c>
      <c r="AJ201" s="228">
        <f t="shared" si="124"/>
        <v>12.490445067989663</v>
      </c>
      <c r="AK201" s="228">
        <f t="shared" si="124"/>
        <v>12.705413481378777</v>
      </c>
      <c r="AL201" s="228">
        <f t="shared" si="124"/>
        <v>12.920381894767884</v>
      </c>
      <c r="AM201" s="228">
        <f t="shared" si="124"/>
        <v>13.15893824173456</v>
      </c>
      <c r="AN201" s="228">
        <f t="shared" si="124"/>
        <v>15.305945364434647</v>
      </c>
      <c r="AO201" s="228">
        <f t="shared" si="124"/>
        <v>15.305945364434647</v>
      </c>
      <c r="AP201" s="228">
        <f t="shared" si="125"/>
        <v>15.305945364434647</v>
      </c>
      <c r="AR201" s="228"/>
      <c r="AS201" s="228"/>
      <c r="AV201" s="228"/>
      <c r="AW201" s="228"/>
      <c r="BG201" s="228">
        <f t="shared" si="126"/>
        <v>10.045687245471997</v>
      </c>
      <c r="BH201" s="130">
        <f t="shared" si="127"/>
        <v>1.9451058704032579E-15</v>
      </c>
    </row>
    <row r="202" spans="1:60">
      <c r="A202" s="227" t="s">
        <v>17</v>
      </c>
      <c r="B202" s="22" t="str">
        <f t="shared" si="119"/>
        <v/>
      </c>
      <c r="C202" s="23" t="str">
        <f t="shared" si="120"/>
        <v/>
      </c>
      <c r="D202" s="61" t="str">
        <f t="shared" si="121"/>
        <v>TPPRMOT</v>
      </c>
      <c r="E202" s="23" t="str">
        <f t="shared" si="122"/>
        <v/>
      </c>
      <c r="F202" s="23" t="str">
        <f t="shared" si="122"/>
        <v/>
      </c>
      <c r="G202" s="23" t="str">
        <f t="shared" si="122"/>
        <v/>
      </c>
      <c r="H202" s="23" t="str">
        <f t="shared" si="122"/>
        <v/>
      </c>
      <c r="I202" s="22" t="str">
        <f t="shared" si="123"/>
        <v/>
      </c>
      <c r="J202" s="228">
        <f>INDEX('[3]TS BYDem'!J$10:J$59,MATCH($D202,'[3]TS BYDem'!D$10:D$59,0))</f>
        <v>4.788655061211033</v>
      </c>
      <c r="K202" s="228">
        <f t="shared" si="124"/>
        <v>4.4924367074740257</v>
      </c>
      <c r="L202" s="228">
        <f t="shared" si="124"/>
        <v>4.1962183537370183</v>
      </c>
      <c r="M202" s="228">
        <f t="shared" si="124"/>
        <v>3.9</v>
      </c>
      <c r="N202" s="228">
        <f t="shared" si="124"/>
        <v>3.6673978942403949</v>
      </c>
      <c r="O202" s="228">
        <f t="shared" si="124"/>
        <v>3.4347957884807903</v>
      </c>
      <c r="P202" s="228">
        <f t="shared" si="124"/>
        <v>3.2021936827211857</v>
      </c>
      <c r="Q202" s="228">
        <f t="shared" si="124"/>
        <v>2.969591576961581</v>
      </c>
      <c r="R202" s="228">
        <f t="shared" si="124"/>
        <v>3.4347957884807903</v>
      </c>
      <c r="S202" s="228">
        <f t="shared" si="124"/>
        <v>3.5137193005772782</v>
      </c>
      <c r="T202" s="228">
        <f t="shared" si="124"/>
        <v>3.5926428126737662</v>
      </c>
      <c r="U202" s="228">
        <f t="shared" si="124"/>
        <v>3.6715663247702541</v>
      </c>
      <c r="V202" s="228">
        <f t="shared" si="124"/>
        <v>3.7504898368667421</v>
      </c>
      <c r="W202" s="228">
        <f t="shared" si="124"/>
        <v>3.82941334896323</v>
      </c>
      <c r="X202" s="228">
        <f t="shared" si="124"/>
        <v>3.908336861059718</v>
      </c>
      <c r="Y202" s="228">
        <f t="shared" si="124"/>
        <v>3.987260373156206</v>
      </c>
      <c r="Z202" s="228">
        <f t="shared" si="124"/>
        <v>4.0661838852526939</v>
      </c>
      <c r="AA202" s="228">
        <f t="shared" si="124"/>
        <v>4.1451073973491823</v>
      </c>
      <c r="AB202" s="228">
        <f t="shared" si="124"/>
        <v>3.6715663247702541</v>
      </c>
      <c r="AC202" s="228">
        <f t="shared" si="124"/>
        <v>3.7448457728628082</v>
      </c>
      <c r="AD202" s="228">
        <f t="shared" si="124"/>
        <v>3.8181252209553627</v>
      </c>
      <c r="AE202" s="228">
        <f t="shared" si="124"/>
        <v>3.8914046690479172</v>
      </c>
      <c r="AF202" s="228">
        <f t="shared" si="124"/>
        <v>3.9646841171404716</v>
      </c>
      <c r="AG202" s="228">
        <f t="shared" si="124"/>
        <v>4.0379635652330261</v>
      </c>
      <c r="AH202" s="228">
        <f t="shared" si="124"/>
        <v>4.1112430133255806</v>
      </c>
      <c r="AI202" s="228">
        <f t="shared" si="124"/>
        <v>4.1845224614181351</v>
      </c>
      <c r="AJ202" s="228">
        <f t="shared" si="124"/>
        <v>4.2578019095106896</v>
      </c>
      <c r="AK202" s="228">
        <f t="shared" si="124"/>
        <v>4.3310813576032441</v>
      </c>
      <c r="AL202" s="228">
        <f t="shared" si="124"/>
        <v>4.4043608056957968</v>
      </c>
      <c r="AM202" s="228">
        <f t="shared" si="124"/>
        <v>4.4856810199965427</v>
      </c>
      <c r="AN202" s="228">
        <f t="shared" si="124"/>
        <v>5.217562948703252</v>
      </c>
      <c r="AO202" s="228">
        <f t="shared" si="124"/>
        <v>5.217562948703252</v>
      </c>
      <c r="AP202" s="228">
        <f t="shared" si="125"/>
        <v>5.217562948703252</v>
      </c>
      <c r="AR202" s="228"/>
      <c r="AS202" s="228"/>
      <c r="AV202" s="228"/>
      <c r="AW202" s="228"/>
      <c r="BG202" s="228">
        <f t="shared" si="126"/>
        <v>4.7886550612110206</v>
      </c>
      <c r="BH202" s="130">
        <f t="shared" si="127"/>
        <v>2.5966576662669697E-15</v>
      </c>
    </row>
    <row r="203" spans="1:60">
      <c r="A203" s="227" t="s">
        <v>17</v>
      </c>
      <c r="B203" s="22" t="str">
        <f t="shared" si="119"/>
        <v/>
      </c>
      <c r="C203" s="23" t="str">
        <f t="shared" si="120"/>
        <v/>
      </c>
      <c r="D203" s="61" t="str">
        <f t="shared" si="121"/>
        <v>TPPUBUS</v>
      </c>
      <c r="E203" s="23" t="str">
        <f t="shared" si="122"/>
        <v/>
      </c>
      <c r="F203" s="23" t="str">
        <f t="shared" si="122"/>
        <v/>
      </c>
      <c r="G203" s="23" t="str">
        <f t="shared" si="122"/>
        <v/>
      </c>
      <c r="H203" s="23" t="str">
        <f t="shared" si="122"/>
        <v/>
      </c>
      <c r="I203" s="22" t="str">
        <f t="shared" si="123"/>
        <v/>
      </c>
      <c r="J203" s="228">
        <f>INDEX('[3]TS BYDem'!J$10:J$59,MATCH($D203,'[3]TS BYDem'!D$10:D$59,0))</f>
        <v>0.61799148971759088</v>
      </c>
      <c r="K203" s="228">
        <f t="shared" si="124"/>
        <v>0.62866099314506119</v>
      </c>
      <c r="L203" s="228">
        <f t="shared" si="124"/>
        <v>0.63933049657253149</v>
      </c>
      <c r="M203" s="228">
        <f t="shared" si="124"/>
        <v>0.65</v>
      </c>
      <c r="N203" s="228">
        <f t="shared" si="124"/>
        <v>0.66077214814486951</v>
      </c>
      <c r="O203" s="228">
        <f t="shared" si="124"/>
        <v>0.671544296289739</v>
      </c>
      <c r="P203" s="228">
        <f t="shared" si="124"/>
        <v>0.68231644443460848</v>
      </c>
      <c r="Q203" s="228">
        <f t="shared" si="124"/>
        <v>0.69308859257947797</v>
      </c>
      <c r="R203" s="228">
        <f t="shared" si="124"/>
        <v>0.671544296289739</v>
      </c>
      <c r="S203" s="228">
        <f t="shared" si="124"/>
        <v>0.6791310931208675</v>
      </c>
      <c r="T203" s="228">
        <f t="shared" si="124"/>
        <v>0.68671788995199601</v>
      </c>
      <c r="U203" s="228">
        <f t="shared" si="124"/>
        <v>0.69430468678312451</v>
      </c>
      <c r="V203" s="228">
        <f t="shared" si="124"/>
        <v>0.70189148361425302</v>
      </c>
      <c r="W203" s="228">
        <f t="shared" si="124"/>
        <v>0.70947828044538153</v>
      </c>
      <c r="X203" s="228">
        <f t="shared" si="124"/>
        <v>0.71706507727651003</v>
      </c>
      <c r="Y203" s="228">
        <f t="shared" si="124"/>
        <v>0.72465187410763854</v>
      </c>
      <c r="Z203" s="228">
        <f t="shared" si="124"/>
        <v>0.73223867093876704</v>
      </c>
      <c r="AA203" s="228">
        <f t="shared" si="124"/>
        <v>0.73982546776989555</v>
      </c>
      <c r="AB203" s="228">
        <f t="shared" si="124"/>
        <v>0.69430468678312451</v>
      </c>
      <c r="AC203" s="228">
        <f t="shared" si="124"/>
        <v>0.71587654160202607</v>
      </c>
      <c r="AD203" s="228">
        <f t="shared" si="124"/>
        <v>0.73744839642092763</v>
      </c>
      <c r="AE203" s="228">
        <f t="shared" si="124"/>
        <v>0.75902025123982919</v>
      </c>
      <c r="AF203" s="228">
        <f t="shared" si="124"/>
        <v>0.78059210605873075</v>
      </c>
      <c r="AG203" s="228">
        <f t="shared" si="124"/>
        <v>0.80216396087763231</v>
      </c>
      <c r="AH203" s="228">
        <f t="shared" si="124"/>
        <v>0.82373581569653387</v>
      </c>
      <c r="AI203" s="228">
        <f t="shared" si="124"/>
        <v>0.84530767051543543</v>
      </c>
      <c r="AJ203" s="228">
        <f t="shared" si="124"/>
        <v>0.86687952533433699</v>
      </c>
      <c r="AK203" s="228">
        <f t="shared" si="124"/>
        <v>0.88845138015323855</v>
      </c>
      <c r="AL203" s="228">
        <f t="shared" si="124"/>
        <v>0.9100232349721401</v>
      </c>
      <c r="AM203" s="228">
        <f t="shared" si="124"/>
        <v>0.89908456882432453</v>
      </c>
      <c r="AN203" s="228">
        <f t="shared" si="124"/>
        <v>0.8006365734939842</v>
      </c>
      <c r="AO203" s="228">
        <f t="shared" si="124"/>
        <v>0.8006365734939842</v>
      </c>
      <c r="AP203" s="228">
        <f t="shared" si="125"/>
        <v>0.8006365734939842</v>
      </c>
      <c r="AR203" s="228"/>
      <c r="AS203" s="228"/>
      <c r="AV203" s="228"/>
      <c r="AW203" s="228"/>
      <c r="BG203" s="228">
        <f t="shared" si="126"/>
        <v>0.61799148971758899</v>
      </c>
      <c r="BH203" s="130">
        <f t="shared" si="127"/>
        <v>3.0540536128179675E-15</v>
      </c>
    </row>
    <row r="204" spans="1:60">
      <c r="A204" s="227" t="s">
        <v>17</v>
      </c>
      <c r="B204" s="22" t="str">
        <f t="shared" si="119"/>
        <v/>
      </c>
      <c r="C204" s="23" t="str">
        <f t="shared" si="120"/>
        <v/>
      </c>
      <c r="D204" s="61" t="str">
        <f t="shared" si="121"/>
        <v>TPPUMBT</v>
      </c>
      <c r="E204" s="23" t="str">
        <f t="shared" si="122"/>
        <v/>
      </c>
      <c r="F204" s="23" t="str">
        <f t="shared" si="122"/>
        <v/>
      </c>
      <c r="G204" s="23" t="str">
        <f t="shared" si="122"/>
        <v/>
      </c>
      <c r="H204" s="23" t="str">
        <f t="shared" si="122"/>
        <v/>
      </c>
      <c r="I204" s="22" t="str">
        <f t="shared" si="123"/>
        <v/>
      </c>
      <c r="J204" s="228">
        <f>INDEX('[3]TS BYDem'!J$10:J$59,MATCH($D204,'[3]TS BYDem'!D$10:D$59,0))</f>
        <v>6.4978638621089795</v>
      </c>
      <c r="K204" s="228">
        <f t="shared" si="124"/>
        <v>6.5391956355953145</v>
      </c>
      <c r="L204" s="228">
        <f t="shared" si="124"/>
        <v>6.5805274090816495</v>
      </c>
      <c r="M204" s="228">
        <f t="shared" si="124"/>
        <v>6.9</v>
      </c>
      <c r="N204" s="228">
        <f t="shared" si="124"/>
        <v>7.0212765000000008</v>
      </c>
      <c r="O204" s="228">
        <f t="shared" si="124"/>
        <v>7.1425530000000013</v>
      </c>
      <c r="P204" s="228">
        <f t="shared" si="124"/>
        <v>7.2638295000000017</v>
      </c>
      <c r="Q204" s="228">
        <f t="shared" si="124"/>
        <v>7.3851060000000022</v>
      </c>
      <c r="R204" s="228">
        <f t="shared" si="124"/>
        <v>7.1425530000000004</v>
      </c>
      <c r="S204" s="228">
        <f t="shared" si="124"/>
        <v>7.1951213423939748</v>
      </c>
      <c r="T204" s="228">
        <f t="shared" si="124"/>
        <v>7.2476896847879493</v>
      </c>
      <c r="U204" s="228">
        <f t="shared" si="124"/>
        <v>7.3002580271819237</v>
      </c>
      <c r="V204" s="228">
        <f t="shared" si="124"/>
        <v>7.3528263695758982</v>
      </c>
      <c r="W204" s="228">
        <f t="shared" si="124"/>
        <v>7.4053947119698726</v>
      </c>
      <c r="X204" s="228">
        <f t="shared" si="124"/>
        <v>7.4579630543638471</v>
      </c>
      <c r="Y204" s="228">
        <f t="shared" si="124"/>
        <v>7.5105313967578216</v>
      </c>
      <c r="Z204" s="228">
        <f t="shared" si="124"/>
        <v>7.563099739151796</v>
      </c>
      <c r="AA204" s="228">
        <f t="shared" si="124"/>
        <v>7.6156680815457705</v>
      </c>
      <c r="AB204" s="228">
        <f t="shared" si="124"/>
        <v>7.3002580271819228</v>
      </c>
      <c r="AC204" s="228">
        <f t="shared" si="124"/>
        <v>7.3229739180353288</v>
      </c>
      <c r="AD204" s="228">
        <f t="shared" si="124"/>
        <v>7.3456898088887348</v>
      </c>
      <c r="AE204" s="228">
        <f t="shared" si="124"/>
        <v>7.3684056997421408</v>
      </c>
      <c r="AF204" s="228">
        <f t="shared" si="124"/>
        <v>7.3911215905955467</v>
      </c>
      <c r="AG204" s="228">
        <f t="shared" si="124"/>
        <v>7.4138374814489527</v>
      </c>
      <c r="AH204" s="228">
        <f t="shared" si="124"/>
        <v>7.4365533723023587</v>
      </c>
      <c r="AI204" s="228">
        <f t="shared" si="124"/>
        <v>7.4592692631557647</v>
      </c>
      <c r="AJ204" s="228">
        <f t="shared" si="124"/>
        <v>7.4819851540091706</v>
      </c>
      <c r="AK204" s="228">
        <f t="shared" si="124"/>
        <v>7.5047010448625766</v>
      </c>
      <c r="AL204" s="228">
        <f t="shared" si="124"/>
        <v>7.5274169357159861</v>
      </c>
      <c r="AM204" s="228">
        <f t="shared" si="124"/>
        <v>7.5310838593913028</v>
      </c>
      <c r="AN204" s="228">
        <f t="shared" si="124"/>
        <v>7.5640861724691559</v>
      </c>
      <c r="AO204" s="228">
        <f t="shared" si="124"/>
        <v>7.5640861724691559</v>
      </c>
      <c r="AP204" s="228">
        <f t="shared" si="125"/>
        <v>7.5640861724691559</v>
      </c>
      <c r="AR204" s="228"/>
      <c r="AS204" s="228"/>
      <c r="AV204" s="228"/>
      <c r="AW204" s="228"/>
      <c r="BG204" s="228">
        <f t="shared" si="126"/>
        <v>6.7760046795409954</v>
      </c>
      <c r="BH204" s="130">
        <f t="shared" si="127"/>
        <v>-4.2804962266744247E-2</v>
      </c>
    </row>
    <row r="205" spans="1:60">
      <c r="A205" s="227" t="s">
        <v>17</v>
      </c>
      <c r="B205" s="22" t="str">
        <f t="shared" si="119"/>
        <v/>
      </c>
      <c r="C205" s="23" t="str">
        <f t="shared" si="120"/>
        <v/>
      </c>
      <c r="D205" s="61" t="str">
        <f t="shared" si="121"/>
        <v>TPPUBRT</v>
      </c>
      <c r="E205" s="23" t="str">
        <f t="shared" si="122"/>
        <v/>
      </c>
      <c r="F205" s="23" t="str">
        <f t="shared" si="122"/>
        <v/>
      </c>
      <c r="G205" s="23" t="str">
        <f t="shared" si="122"/>
        <v/>
      </c>
      <c r="H205" s="23" t="str">
        <f t="shared" si="122"/>
        <v/>
      </c>
      <c r="I205" s="22" t="str">
        <f t="shared" si="123"/>
        <v/>
      </c>
      <c r="J205" s="228">
        <f>INDEX('[3]TS BYDem'!J$10:J$59,MATCH($D205,'[3]TS BYDem'!D$10:D$59,0))</f>
        <v>0</v>
      </c>
      <c r="K205" s="228">
        <f t="shared" si="124"/>
        <v>3.7703177355207412E-4</v>
      </c>
      <c r="L205" s="228">
        <f t="shared" si="124"/>
        <v>7.5406354710414825E-4</v>
      </c>
      <c r="M205" s="228">
        <f t="shared" si="124"/>
        <v>2.4038015749660205E-2</v>
      </c>
      <c r="N205" s="228">
        <f t="shared" si="124"/>
        <v>2.4436702510710735E-2</v>
      </c>
      <c r="O205" s="228">
        <f t="shared" si="124"/>
        <v>2.4835389271761266E-2</v>
      </c>
      <c r="P205" s="228">
        <f t="shared" si="124"/>
        <v>2.5234076032811796E-2</v>
      </c>
      <c r="Q205" s="228">
        <f t="shared" si="124"/>
        <v>2.5632762793862326E-2</v>
      </c>
      <c r="R205" s="228">
        <f t="shared" si="124"/>
        <v>2.4835389271761269E-2</v>
      </c>
      <c r="S205" s="228">
        <f t="shared" si="124"/>
        <v>8.9559578034404161E-2</v>
      </c>
      <c r="T205" s="228">
        <f t="shared" si="124"/>
        <v>0.15428376679704706</v>
      </c>
      <c r="U205" s="228">
        <f t="shared" si="124"/>
        <v>0.21900795555968994</v>
      </c>
      <c r="V205" s="228">
        <f t="shared" si="124"/>
        <v>0.28373214432233285</v>
      </c>
      <c r="W205" s="228">
        <f t="shared" si="124"/>
        <v>0.34845633308497576</v>
      </c>
      <c r="X205" s="228">
        <f t="shared" si="124"/>
        <v>0.41318052184761866</v>
      </c>
      <c r="Y205" s="228">
        <f t="shared" si="124"/>
        <v>0.47790471061026157</v>
      </c>
      <c r="Z205" s="228">
        <f t="shared" si="124"/>
        <v>0.54262889937290448</v>
      </c>
      <c r="AA205" s="228">
        <f t="shared" si="124"/>
        <v>0.60735308813554734</v>
      </c>
      <c r="AB205" s="228">
        <f t="shared" si="124"/>
        <v>0.21900795555968994</v>
      </c>
      <c r="AC205" s="228">
        <f t="shared" si="124"/>
        <v>0.25002995445579612</v>
      </c>
      <c r="AD205" s="228">
        <f t="shared" si="124"/>
        <v>0.28105195335190225</v>
      </c>
      <c r="AE205" s="228">
        <f t="shared" si="124"/>
        <v>0.31207395224800838</v>
      </c>
      <c r="AF205" s="228">
        <f t="shared" si="124"/>
        <v>0.34309595114411451</v>
      </c>
      <c r="AG205" s="228">
        <f t="shared" si="124"/>
        <v>0.37411795004022064</v>
      </c>
      <c r="AH205" s="228">
        <f t="shared" si="124"/>
        <v>0.40513994893632677</v>
      </c>
      <c r="AI205" s="228">
        <f t="shared" si="124"/>
        <v>0.43616194783243289</v>
      </c>
      <c r="AJ205" s="228">
        <f t="shared" si="124"/>
        <v>0.46718394672853902</v>
      </c>
      <c r="AK205" s="228">
        <f t="shared" si="124"/>
        <v>0.49820594562464515</v>
      </c>
      <c r="AL205" s="228">
        <f t="shared" si="124"/>
        <v>0.5292279445207515</v>
      </c>
      <c r="AM205" s="228">
        <f t="shared" si="124"/>
        <v>0.57870103716556576</v>
      </c>
      <c r="AN205" s="228">
        <f t="shared" si="124"/>
        <v>1.0239588709688945</v>
      </c>
      <c r="AO205" s="228">
        <f t="shared" si="124"/>
        <v>1.0239588709688945</v>
      </c>
      <c r="AP205" s="228">
        <f t="shared" si="125"/>
        <v>1.0239588709688945</v>
      </c>
      <c r="AR205" s="228"/>
      <c r="AS205" s="228"/>
      <c r="AV205" s="228"/>
      <c r="AW205" s="228"/>
      <c r="BG205" s="228">
        <f t="shared" si="126"/>
        <v>2.2906920429003982E-2</v>
      </c>
      <c r="BH205" s="130" t="e">
        <f t="shared" si="127"/>
        <v>#DIV/0!</v>
      </c>
    </row>
    <row r="206" spans="1:60">
      <c r="A206" s="227" t="s">
        <v>17</v>
      </c>
      <c r="B206" s="22" t="str">
        <f t="shared" si="119"/>
        <v/>
      </c>
      <c r="C206" s="23" t="str">
        <f t="shared" si="120"/>
        <v/>
      </c>
      <c r="D206" s="61" t="str">
        <f t="shared" si="121"/>
        <v>TPPUMER</v>
      </c>
      <c r="E206" s="23" t="str">
        <f t="shared" si="122"/>
        <v/>
      </c>
      <c r="F206" s="23" t="str">
        <f t="shared" si="122"/>
        <v/>
      </c>
      <c r="G206" s="23" t="str">
        <f t="shared" si="122"/>
        <v/>
      </c>
      <c r="H206" s="23" t="str">
        <f t="shared" si="122"/>
        <v/>
      </c>
      <c r="I206" s="22" t="str">
        <f t="shared" si="123"/>
        <v/>
      </c>
      <c r="J206" s="228">
        <f>INDEX('[3]TS BYDem'!J$10:J$59,MATCH($D206,'[3]TS BYDem'!D$10:D$59,0))</f>
        <v>15.8</v>
      </c>
      <c r="K206" s="228">
        <f t="shared" si="124"/>
        <v>16.186847643174705</v>
      </c>
      <c r="L206" s="228">
        <f t="shared" si="124"/>
        <v>16.573695286349409</v>
      </c>
      <c r="M206" s="228">
        <f t="shared" si="124"/>
        <v>17.636861333338672</v>
      </c>
      <c r="N206" s="228">
        <f t="shared" si="124"/>
        <v>17.730412645510775</v>
      </c>
      <c r="O206" s="228">
        <f t="shared" si="124"/>
        <v>17.823963957682878</v>
      </c>
      <c r="P206" s="228">
        <f t="shared" si="124"/>
        <v>17.917515269854981</v>
      </c>
      <c r="Q206" s="228">
        <f t="shared" si="124"/>
        <v>18.011066582027084</v>
      </c>
      <c r="R206" s="228">
        <f t="shared" si="124"/>
        <v>17.823963957682881</v>
      </c>
      <c r="S206" s="228">
        <f t="shared" si="124"/>
        <v>17.799668052611267</v>
      </c>
      <c r="T206" s="228">
        <f t="shared" si="124"/>
        <v>17.775372147539652</v>
      </c>
      <c r="U206" s="228">
        <f t="shared" si="124"/>
        <v>17.751076242468038</v>
      </c>
      <c r="V206" s="228">
        <f t="shared" si="124"/>
        <v>17.726780337396423</v>
      </c>
      <c r="W206" s="228">
        <f t="shared" si="124"/>
        <v>17.702484432324809</v>
      </c>
      <c r="X206" s="228">
        <f t="shared" si="124"/>
        <v>17.678188527253194</v>
      </c>
      <c r="Y206" s="228">
        <f t="shared" si="124"/>
        <v>17.65389262218158</v>
      </c>
      <c r="Z206" s="228">
        <f t="shared" si="124"/>
        <v>17.629596717109965</v>
      </c>
      <c r="AA206" s="228">
        <f t="shared" si="124"/>
        <v>17.605300812038351</v>
      </c>
      <c r="AB206" s="228">
        <f t="shared" si="124"/>
        <v>17.751076242468041</v>
      </c>
      <c r="AC206" s="228">
        <f t="shared" si="124"/>
        <v>17.321026044471083</v>
      </c>
      <c r="AD206" s="228">
        <f t="shared" si="124"/>
        <v>16.890975846474124</v>
      </c>
      <c r="AE206" s="228">
        <f t="shared" si="124"/>
        <v>16.460925648477165</v>
      </c>
      <c r="AF206" s="228">
        <f t="shared" si="124"/>
        <v>16.030875450480206</v>
      </c>
      <c r="AG206" s="228">
        <f t="shared" si="124"/>
        <v>15.600825252483247</v>
      </c>
      <c r="AH206" s="228">
        <f t="shared" si="124"/>
        <v>15.170775054486288</v>
      </c>
      <c r="AI206" s="228">
        <f t="shared" si="124"/>
        <v>14.740724856489329</v>
      </c>
      <c r="AJ206" s="228">
        <f t="shared" si="124"/>
        <v>14.310674658492371</v>
      </c>
      <c r="AK206" s="228">
        <f t="shared" si="124"/>
        <v>13.880624460495412</v>
      </c>
      <c r="AL206" s="228">
        <f t="shared" si="124"/>
        <v>13.450574262498447</v>
      </c>
      <c r="AM206" s="228">
        <f t="shared" si="124"/>
        <v>13.741676032459964</v>
      </c>
      <c r="AN206" s="228">
        <f t="shared" si="124"/>
        <v>16.361591962113614</v>
      </c>
      <c r="AO206" s="228">
        <f t="shared" si="124"/>
        <v>16.361591962113614</v>
      </c>
      <c r="AP206" s="228">
        <f t="shared" si="125"/>
        <v>16.361591962113614</v>
      </c>
      <c r="AR206" s="228"/>
      <c r="AS206" s="228"/>
      <c r="AV206" s="228"/>
      <c r="AW206" s="228"/>
      <c r="BG206" s="228">
        <f t="shared" si="126"/>
        <v>16.476318403814556</v>
      </c>
      <c r="BH206" s="130">
        <f t="shared" si="127"/>
        <v>-4.2804962266744004E-2</v>
      </c>
    </row>
    <row r="207" spans="1:60">
      <c r="A207" s="227" t="s">
        <v>17</v>
      </c>
      <c r="B207" s="22" t="str">
        <f t="shared" si="119"/>
        <v/>
      </c>
      <c r="C207" s="23" t="str">
        <f t="shared" si="120"/>
        <v/>
      </c>
      <c r="D207" s="61" t="str">
        <f t="shared" si="121"/>
        <v>TPPUGAT</v>
      </c>
      <c r="E207" s="23" t="str">
        <f t="shared" si="122"/>
        <v/>
      </c>
      <c r="F207" s="23" t="str">
        <f t="shared" si="122"/>
        <v/>
      </c>
      <c r="G207" s="23" t="str">
        <f t="shared" si="122"/>
        <v/>
      </c>
      <c r="H207" s="23" t="str">
        <f t="shared" si="122"/>
        <v/>
      </c>
      <c r="I207" s="22" t="str">
        <f t="shared" si="123"/>
        <v/>
      </c>
      <c r="J207" s="228">
        <f>INDEX('[3]TS BYDem'!J$10:J$59,MATCH($D207,'[3]TS BYDem'!D$10:D$59,0))</f>
        <v>0</v>
      </c>
      <c r="K207" s="228">
        <f t="shared" si="124"/>
        <v>1.3092783122651238E-2</v>
      </c>
      <c r="L207" s="228">
        <f t="shared" si="124"/>
        <v>2.6185566245302477E-2</v>
      </c>
      <c r="M207" s="228">
        <f t="shared" si="124"/>
        <v>0.65899656287368868</v>
      </c>
      <c r="N207" s="228">
        <f t="shared" si="124"/>
        <v>0.67325785334021937</v>
      </c>
      <c r="O207" s="228">
        <f t="shared" si="124"/>
        <v>0.68751914380675005</v>
      </c>
      <c r="P207" s="228">
        <f t="shared" si="124"/>
        <v>0.70178043427328074</v>
      </c>
      <c r="Q207" s="228">
        <f t="shared" si="124"/>
        <v>0.71604172473981142</v>
      </c>
      <c r="R207" s="228">
        <f t="shared" si="124"/>
        <v>0.68751914380675005</v>
      </c>
      <c r="S207" s="228">
        <f t="shared" si="124"/>
        <v>0.70215548856734533</v>
      </c>
      <c r="T207" s="228">
        <f t="shared" si="124"/>
        <v>0.71679183332794061</v>
      </c>
      <c r="U207" s="228">
        <f t="shared" si="124"/>
        <v>0.73142817808853589</v>
      </c>
      <c r="V207" s="228">
        <f t="shared" si="124"/>
        <v>0.74606452284913116</v>
      </c>
      <c r="W207" s="228">
        <f t="shared" si="124"/>
        <v>0.76070086760972644</v>
      </c>
      <c r="X207" s="228">
        <f t="shared" si="124"/>
        <v>0.77533721237032172</v>
      </c>
      <c r="Y207" s="228">
        <f t="shared" si="124"/>
        <v>0.78997355713091699</v>
      </c>
      <c r="Z207" s="228">
        <f t="shared" si="124"/>
        <v>0.80460990189151227</v>
      </c>
      <c r="AA207" s="228">
        <f t="shared" si="124"/>
        <v>0.81924624665210755</v>
      </c>
      <c r="AB207" s="228">
        <f t="shared" si="124"/>
        <v>0.73142817808853577</v>
      </c>
      <c r="AC207" s="228">
        <f t="shared" si="124"/>
        <v>0.7466295991843398</v>
      </c>
      <c r="AD207" s="228">
        <f t="shared" si="124"/>
        <v>0.76183102028014382</v>
      </c>
      <c r="AE207" s="228">
        <f t="shared" si="124"/>
        <v>0.77703244137594785</v>
      </c>
      <c r="AF207" s="228">
        <f t="shared" si="124"/>
        <v>0.79223386247175187</v>
      </c>
      <c r="AG207" s="228">
        <f t="shared" si="124"/>
        <v>0.80743528356755589</v>
      </c>
      <c r="AH207" s="228">
        <f t="shared" si="124"/>
        <v>0.82263670466335992</v>
      </c>
      <c r="AI207" s="228">
        <f t="shared" si="124"/>
        <v>0.83783812575916394</v>
      </c>
      <c r="AJ207" s="228">
        <f t="shared" si="124"/>
        <v>0.85303954685496797</v>
      </c>
      <c r="AK207" s="228">
        <f t="shared" si="124"/>
        <v>0.86824096795077199</v>
      </c>
      <c r="AL207" s="228">
        <f t="shared" si="124"/>
        <v>0.88344238904657568</v>
      </c>
      <c r="AM207" s="228">
        <f t="shared" si="124"/>
        <v>0.9004624430149597</v>
      </c>
      <c r="AN207" s="228">
        <f t="shared" si="124"/>
        <v>1.0536429287304157</v>
      </c>
      <c r="AO207" s="228">
        <f t="shared" si="124"/>
        <v>1.0536429287304157</v>
      </c>
      <c r="AP207" s="228">
        <f t="shared" si="125"/>
        <v>1.0536429287304157</v>
      </c>
      <c r="AR207" s="228"/>
      <c r="AS207" s="228"/>
      <c r="AV207" s="228"/>
      <c r="AW207" s="228"/>
      <c r="BG207" s="228">
        <f t="shared" si="126"/>
        <v>0.61971821350573497</v>
      </c>
      <c r="BH207" s="130" t="e">
        <f t="shared" si="127"/>
        <v>#DIV/0!</v>
      </c>
    </row>
    <row r="208" spans="1:60">
      <c r="A208" s="227" t="s">
        <v>17</v>
      </c>
      <c r="F208" s="228"/>
      <c r="G208" s="228"/>
      <c r="H208" s="228"/>
      <c r="K208" s="228"/>
      <c r="M208" s="279">
        <f>M214*B42</f>
        <v>109.44</v>
      </c>
    </row>
    <row r="209" spans="1:60" ht="21.6">
      <c r="A209" s="227" t="s">
        <v>17</v>
      </c>
      <c r="B209" s="16" t="s">
        <v>19</v>
      </c>
      <c r="C209" s="16" t="s">
        <v>20</v>
      </c>
      <c r="D209" s="16" t="s">
        <v>21</v>
      </c>
      <c r="E209" s="16" t="s">
        <v>22</v>
      </c>
      <c r="F209" s="16" t="s">
        <v>23</v>
      </c>
      <c r="G209" s="16" t="s">
        <v>24</v>
      </c>
      <c r="H209" s="16" t="s">
        <v>25</v>
      </c>
      <c r="I209" s="17" t="s">
        <v>26</v>
      </c>
      <c r="J209" s="18">
        <v>2012</v>
      </c>
      <c r="K209" s="18">
        <f>1+J209</f>
        <v>2013</v>
      </c>
      <c r="L209" s="18">
        <f t="shared" ref="L209:AL209" si="128">1+K209</f>
        <v>2014</v>
      </c>
      <c r="M209" s="18">
        <f>1+L209</f>
        <v>2015</v>
      </c>
      <c r="N209" s="18">
        <f t="shared" si="128"/>
        <v>2016</v>
      </c>
      <c r="O209" s="18">
        <f t="shared" si="128"/>
        <v>2017</v>
      </c>
      <c r="P209" s="18">
        <f t="shared" si="128"/>
        <v>2018</v>
      </c>
      <c r="Q209" s="18">
        <f t="shared" si="128"/>
        <v>2019</v>
      </c>
      <c r="R209" s="18">
        <f t="shared" si="128"/>
        <v>2020</v>
      </c>
      <c r="S209" s="18">
        <f t="shared" si="128"/>
        <v>2021</v>
      </c>
      <c r="T209" s="18">
        <f t="shared" si="128"/>
        <v>2022</v>
      </c>
      <c r="U209" s="18">
        <f t="shared" si="128"/>
        <v>2023</v>
      </c>
      <c r="V209" s="18">
        <f t="shared" si="128"/>
        <v>2024</v>
      </c>
      <c r="W209" s="18">
        <f t="shared" si="128"/>
        <v>2025</v>
      </c>
      <c r="X209" s="18">
        <f t="shared" si="128"/>
        <v>2026</v>
      </c>
      <c r="Y209" s="18">
        <f t="shared" si="128"/>
        <v>2027</v>
      </c>
      <c r="Z209" s="18">
        <f t="shared" si="128"/>
        <v>2028</v>
      </c>
      <c r="AA209" s="18">
        <f t="shared" si="128"/>
        <v>2029</v>
      </c>
      <c r="AB209" s="18">
        <f t="shared" si="128"/>
        <v>2030</v>
      </c>
      <c r="AC209" s="18">
        <f t="shared" si="128"/>
        <v>2031</v>
      </c>
      <c r="AD209" s="18">
        <f t="shared" si="128"/>
        <v>2032</v>
      </c>
      <c r="AE209" s="18">
        <f t="shared" si="128"/>
        <v>2033</v>
      </c>
      <c r="AF209" s="18">
        <f t="shared" si="128"/>
        <v>2034</v>
      </c>
      <c r="AG209" s="18">
        <f t="shared" si="128"/>
        <v>2035</v>
      </c>
      <c r="AH209" s="18">
        <f t="shared" si="128"/>
        <v>2036</v>
      </c>
      <c r="AI209" s="18">
        <f t="shared" si="128"/>
        <v>2037</v>
      </c>
      <c r="AJ209" s="18">
        <f t="shared" si="128"/>
        <v>2038</v>
      </c>
      <c r="AK209" s="18">
        <f t="shared" si="128"/>
        <v>2039</v>
      </c>
      <c r="AL209" s="18">
        <f t="shared" si="128"/>
        <v>2040</v>
      </c>
      <c r="AM209" s="18">
        <v>2045</v>
      </c>
      <c r="AN209" s="18">
        <v>2050</v>
      </c>
      <c r="AO209" s="18">
        <v>2060</v>
      </c>
      <c r="AP209" s="18">
        <v>2070</v>
      </c>
      <c r="AR209" s="18"/>
      <c r="AS209" s="18"/>
      <c r="AV209" s="18"/>
      <c r="AW209" s="18"/>
      <c r="BG209" s="18">
        <v>2012</v>
      </c>
      <c r="BH209" s="18"/>
    </row>
    <row r="210" spans="1:60" s="233" customFormat="1">
      <c r="A210" s="137" t="s">
        <v>17</v>
      </c>
      <c r="B210" s="233" t="s">
        <v>404</v>
      </c>
      <c r="C210" s="233">
        <v>1</v>
      </c>
      <c r="D210" s="233">
        <v>2012</v>
      </c>
      <c r="E210" s="233">
        <f>F4</f>
        <v>2015</v>
      </c>
      <c r="F210" s="233">
        <v>2020</v>
      </c>
      <c r="G210" s="233">
        <v>2030</v>
      </c>
      <c r="H210" s="233">
        <v>2040</v>
      </c>
      <c r="I210" s="283">
        <v>2050</v>
      </c>
      <c r="J210" s="137">
        <f t="shared" ref="J210:Y211" si="129">MATCH(J$209,$D$210:$I$210,$C210)</f>
        <v>1</v>
      </c>
      <c r="K210" s="233">
        <f t="shared" si="129"/>
        <v>1</v>
      </c>
      <c r="L210" s="233">
        <f t="shared" si="129"/>
        <v>1</v>
      </c>
      <c r="M210" s="233">
        <f t="shared" si="129"/>
        <v>2</v>
      </c>
      <c r="N210" s="233">
        <f t="shared" si="129"/>
        <v>2</v>
      </c>
      <c r="O210" s="233">
        <f t="shared" si="129"/>
        <v>2</v>
      </c>
      <c r="P210" s="233">
        <f t="shared" si="129"/>
        <v>2</v>
      </c>
      <c r="Q210" s="233">
        <f t="shared" si="129"/>
        <v>2</v>
      </c>
      <c r="R210" s="233">
        <f t="shared" si="129"/>
        <v>3</v>
      </c>
      <c r="S210" s="233">
        <f t="shared" si="129"/>
        <v>3</v>
      </c>
      <c r="T210" s="233">
        <f t="shared" si="129"/>
        <v>3</v>
      </c>
      <c r="U210" s="233">
        <f t="shared" si="129"/>
        <v>3</v>
      </c>
      <c r="V210" s="233">
        <f t="shared" si="129"/>
        <v>3</v>
      </c>
      <c r="W210" s="233">
        <f t="shared" si="129"/>
        <v>3</v>
      </c>
      <c r="X210" s="233">
        <f t="shared" si="129"/>
        <v>3</v>
      </c>
      <c r="Y210" s="233">
        <f t="shared" si="129"/>
        <v>3</v>
      </c>
      <c r="Z210" s="233">
        <f t="shared" ref="Z210:AO211" si="130">MATCH(Z$209,$D$210:$I$210,$C210)</f>
        <v>3</v>
      </c>
      <c r="AA210" s="233">
        <f t="shared" si="130"/>
        <v>3</v>
      </c>
      <c r="AB210" s="233">
        <f t="shared" si="130"/>
        <v>4</v>
      </c>
      <c r="AC210" s="233">
        <f t="shared" si="130"/>
        <v>4</v>
      </c>
      <c r="AD210" s="233">
        <f t="shared" si="130"/>
        <v>4</v>
      </c>
      <c r="AE210" s="233">
        <f t="shared" si="130"/>
        <v>4</v>
      </c>
      <c r="AF210" s="233">
        <f t="shared" si="130"/>
        <v>4</v>
      </c>
      <c r="AG210" s="233">
        <f t="shared" si="130"/>
        <v>4</v>
      </c>
      <c r="AH210" s="233">
        <f t="shared" si="130"/>
        <v>4</v>
      </c>
      <c r="AI210" s="233">
        <f t="shared" si="130"/>
        <v>4</v>
      </c>
      <c r="AJ210" s="233">
        <f t="shared" si="130"/>
        <v>4</v>
      </c>
      <c r="AK210" s="233">
        <f t="shared" si="130"/>
        <v>4</v>
      </c>
      <c r="AL210" s="233">
        <f t="shared" si="130"/>
        <v>5</v>
      </c>
      <c r="AM210" s="233">
        <f t="shared" si="130"/>
        <v>5</v>
      </c>
      <c r="AN210" s="233">
        <f t="shared" si="130"/>
        <v>6</v>
      </c>
      <c r="AO210" s="233">
        <f t="shared" si="130"/>
        <v>6</v>
      </c>
      <c r="AP210" s="233">
        <f t="shared" ref="AP210:AP211" si="131">MATCH(AP$209,$D$210:$I$210,$C210)</f>
        <v>6</v>
      </c>
      <c r="BG210" s="137">
        <f>MATCH(BG$209,$D$210:$I$210,$C210)</f>
        <v>1</v>
      </c>
    </row>
    <row r="211" spans="1:60">
      <c r="A211" s="41" t="s">
        <v>17</v>
      </c>
      <c r="B211" s="227" t="s">
        <v>405</v>
      </c>
      <c r="C211" s="227">
        <v>0</v>
      </c>
      <c r="D211" s="227">
        <f t="shared" ref="D211:I211" si="132">INDEX($D210:$I210,0,COUNT($D210:$I210)-D212)</f>
        <v>2050</v>
      </c>
      <c r="E211" s="227">
        <f t="shared" si="132"/>
        <v>2040</v>
      </c>
      <c r="F211" s="227">
        <f t="shared" si="132"/>
        <v>2030</v>
      </c>
      <c r="G211" s="227">
        <f t="shared" si="132"/>
        <v>2020</v>
      </c>
      <c r="H211" s="227">
        <f t="shared" si="132"/>
        <v>2015</v>
      </c>
      <c r="I211" s="144">
        <f t="shared" si="132"/>
        <v>2012</v>
      </c>
      <c r="J211" s="41">
        <f t="shared" si="129"/>
        <v>1</v>
      </c>
      <c r="K211" s="227" t="e">
        <f t="shared" si="129"/>
        <v>#N/A</v>
      </c>
      <c r="L211" s="227" t="e">
        <f t="shared" si="129"/>
        <v>#N/A</v>
      </c>
      <c r="M211" s="227">
        <f t="shared" si="129"/>
        <v>2</v>
      </c>
      <c r="N211" s="227" t="e">
        <f t="shared" si="129"/>
        <v>#N/A</v>
      </c>
      <c r="O211" s="227" t="e">
        <f t="shared" si="129"/>
        <v>#N/A</v>
      </c>
      <c r="P211" s="227" t="e">
        <f t="shared" si="129"/>
        <v>#N/A</v>
      </c>
      <c r="Q211" s="227" t="e">
        <f t="shared" si="129"/>
        <v>#N/A</v>
      </c>
      <c r="R211" s="227">
        <f t="shared" si="129"/>
        <v>3</v>
      </c>
      <c r="S211" s="227" t="e">
        <f t="shared" si="129"/>
        <v>#N/A</v>
      </c>
      <c r="T211" s="227" t="e">
        <f t="shared" si="129"/>
        <v>#N/A</v>
      </c>
      <c r="U211" s="227" t="e">
        <f t="shared" si="129"/>
        <v>#N/A</v>
      </c>
      <c r="V211" s="227" t="e">
        <f t="shared" si="129"/>
        <v>#N/A</v>
      </c>
      <c r="W211" s="227" t="e">
        <f t="shared" si="129"/>
        <v>#N/A</v>
      </c>
      <c r="X211" s="227" t="e">
        <f t="shared" si="129"/>
        <v>#N/A</v>
      </c>
      <c r="Y211" s="227" t="e">
        <f t="shared" si="129"/>
        <v>#N/A</v>
      </c>
      <c r="Z211" s="227" t="e">
        <f t="shared" si="130"/>
        <v>#N/A</v>
      </c>
      <c r="AA211" s="227" t="e">
        <f t="shared" si="130"/>
        <v>#N/A</v>
      </c>
      <c r="AB211" s="227">
        <f t="shared" si="130"/>
        <v>4</v>
      </c>
      <c r="AC211" s="227" t="e">
        <f t="shared" si="130"/>
        <v>#N/A</v>
      </c>
      <c r="AD211" s="227" t="e">
        <f t="shared" si="130"/>
        <v>#N/A</v>
      </c>
      <c r="AE211" s="227" t="e">
        <f t="shared" si="130"/>
        <v>#N/A</v>
      </c>
      <c r="AF211" s="227" t="e">
        <f t="shared" si="130"/>
        <v>#N/A</v>
      </c>
      <c r="AG211" s="227" t="e">
        <f t="shared" si="130"/>
        <v>#N/A</v>
      </c>
      <c r="AH211" s="227" t="e">
        <f t="shared" si="130"/>
        <v>#N/A</v>
      </c>
      <c r="AI211" s="227" t="e">
        <f t="shared" si="130"/>
        <v>#N/A</v>
      </c>
      <c r="AJ211" s="227" t="e">
        <f t="shared" si="130"/>
        <v>#N/A</v>
      </c>
      <c r="AK211" s="227" t="e">
        <f t="shared" si="130"/>
        <v>#N/A</v>
      </c>
      <c r="AL211" s="227">
        <f t="shared" si="130"/>
        <v>5</v>
      </c>
      <c r="AM211" s="227" t="e">
        <f t="shared" si="130"/>
        <v>#N/A</v>
      </c>
      <c r="AN211" s="227">
        <f t="shared" si="130"/>
        <v>6</v>
      </c>
      <c r="AO211" s="227" t="e">
        <f t="shared" si="130"/>
        <v>#N/A</v>
      </c>
      <c r="AP211" s="227" t="e">
        <f t="shared" si="131"/>
        <v>#N/A</v>
      </c>
      <c r="BG211" s="41">
        <f>MATCH(BG$209,$D$210:$I$210,$C211)</f>
        <v>1</v>
      </c>
    </row>
    <row r="212" spans="1:60">
      <c r="A212" s="41" t="s">
        <v>17</v>
      </c>
      <c r="B212" s="227" t="s">
        <v>403</v>
      </c>
      <c r="C212" s="227">
        <v>-1</v>
      </c>
      <c r="D212" s="227">
        <v>0</v>
      </c>
      <c r="E212" s="227">
        <v>1</v>
      </c>
      <c r="F212" s="227">
        <v>2</v>
      </c>
      <c r="G212" s="227">
        <v>3</v>
      </c>
      <c r="H212" s="227">
        <v>4</v>
      </c>
      <c r="I212" s="227">
        <v>5</v>
      </c>
      <c r="J212" s="227">
        <f t="shared" ref="J212:AP212" si="133">MATCH(J$209,$D$211:$I$211,$C212)</f>
        <v>6</v>
      </c>
      <c r="K212" s="227">
        <f t="shared" si="133"/>
        <v>5</v>
      </c>
      <c r="L212" s="227">
        <f t="shared" si="133"/>
        <v>5</v>
      </c>
      <c r="M212" s="227">
        <f t="shared" si="133"/>
        <v>5</v>
      </c>
      <c r="N212" s="227">
        <f t="shared" si="133"/>
        <v>4</v>
      </c>
      <c r="O212" s="227">
        <f t="shared" si="133"/>
        <v>4</v>
      </c>
      <c r="P212" s="227">
        <f t="shared" si="133"/>
        <v>4</v>
      </c>
      <c r="Q212" s="227">
        <f t="shared" si="133"/>
        <v>4</v>
      </c>
      <c r="R212" s="227">
        <f t="shared" si="133"/>
        <v>4</v>
      </c>
      <c r="S212" s="227">
        <f t="shared" si="133"/>
        <v>3</v>
      </c>
      <c r="T212" s="227">
        <f t="shared" si="133"/>
        <v>3</v>
      </c>
      <c r="U212" s="227">
        <f t="shared" si="133"/>
        <v>3</v>
      </c>
      <c r="V212" s="227">
        <f t="shared" si="133"/>
        <v>3</v>
      </c>
      <c r="W212" s="227">
        <f t="shared" si="133"/>
        <v>3</v>
      </c>
      <c r="X212" s="227">
        <f t="shared" si="133"/>
        <v>3</v>
      </c>
      <c r="Y212" s="227">
        <f t="shared" si="133"/>
        <v>3</v>
      </c>
      <c r="Z212" s="227">
        <f t="shared" si="133"/>
        <v>3</v>
      </c>
      <c r="AA212" s="227">
        <f t="shared" si="133"/>
        <v>3</v>
      </c>
      <c r="AB212" s="227">
        <f t="shared" si="133"/>
        <v>3</v>
      </c>
      <c r="AC212" s="227">
        <f t="shared" si="133"/>
        <v>2</v>
      </c>
      <c r="AD212" s="227">
        <f t="shared" si="133"/>
        <v>2</v>
      </c>
      <c r="AE212" s="227">
        <f t="shared" si="133"/>
        <v>2</v>
      </c>
      <c r="AF212" s="227">
        <f t="shared" si="133"/>
        <v>2</v>
      </c>
      <c r="AG212" s="227">
        <f t="shared" si="133"/>
        <v>2</v>
      </c>
      <c r="AH212" s="227">
        <f t="shared" si="133"/>
        <v>2</v>
      </c>
      <c r="AI212" s="227">
        <f t="shared" si="133"/>
        <v>2</v>
      </c>
      <c r="AJ212" s="227">
        <f t="shared" si="133"/>
        <v>2</v>
      </c>
      <c r="AK212" s="227">
        <f t="shared" si="133"/>
        <v>2</v>
      </c>
      <c r="AL212" s="227">
        <f t="shared" si="133"/>
        <v>2</v>
      </c>
      <c r="AM212" s="227">
        <f t="shared" si="133"/>
        <v>1</v>
      </c>
      <c r="AN212" s="227">
        <f t="shared" si="133"/>
        <v>1</v>
      </c>
      <c r="AO212" s="227" t="e">
        <f t="shared" si="133"/>
        <v>#N/A</v>
      </c>
      <c r="AP212" s="227" t="e">
        <f t="shared" si="133"/>
        <v>#N/A</v>
      </c>
      <c r="BG212" s="227">
        <f>MATCH(BG$209,$D$211:$I$211,$C212)</f>
        <v>6</v>
      </c>
    </row>
    <row r="213" spans="1:60" s="140" customFormat="1">
      <c r="A213" s="139" t="s">
        <v>17</v>
      </c>
      <c r="B213" s="140" t="s">
        <v>406</v>
      </c>
      <c r="I213" s="145"/>
      <c r="J213" s="231">
        <f>IF(ISNA(J210),-1,IF(ISNA(J212),99,IF(ISNA(J211),J210,0)))</f>
        <v>0</v>
      </c>
      <c r="K213" s="231">
        <f t="shared" ref="K213:AP213" si="134">IF(ISNA(K210),-1,IF(ISNA(K212),99,IF(ISNA(K211),K210,0)))</f>
        <v>1</v>
      </c>
      <c r="L213" s="231">
        <f t="shared" si="134"/>
        <v>1</v>
      </c>
      <c r="M213" s="231">
        <f t="shared" si="134"/>
        <v>0</v>
      </c>
      <c r="N213" s="231">
        <f t="shared" si="134"/>
        <v>2</v>
      </c>
      <c r="O213" s="231">
        <f t="shared" si="134"/>
        <v>2</v>
      </c>
      <c r="P213" s="231">
        <f t="shared" si="134"/>
        <v>2</v>
      </c>
      <c r="Q213" s="231">
        <f t="shared" si="134"/>
        <v>2</v>
      </c>
      <c r="R213" s="231">
        <f t="shared" si="134"/>
        <v>0</v>
      </c>
      <c r="S213" s="231">
        <f t="shared" si="134"/>
        <v>3</v>
      </c>
      <c r="T213" s="231">
        <f t="shared" si="134"/>
        <v>3</v>
      </c>
      <c r="U213" s="231">
        <f t="shared" si="134"/>
        <v>3</v>
      </c>
      <c r="V213" s="231">
        <f t="shared" si="134"/>
        <v>3</v>
      </c>
      <c r="W213" s="231">
        <f t="shared" si="134"/>
        <v>3</v>
      </c>
      <c r="X213" s="231">
        <f t="shared" si="134"/>
        <v>3</v>
      </c>
      <c r="Y213" s="231">
        <f t="shared" si="134"/>
        <v>3</v>
      </c>
      <c r="Z213" s="231">
        <f t="shared" si="134"/>
        <v>3</v>
      </c>
      <c r="AA213" s="231">
        <f t="shared" si="134"/>
        <v>3</v>
      </c>
      <c r="AB213" s="231">
        <f t="shared" si="134"/>
        <v>0</v>
      </c>
      <c r="AC213" s="231">
        <f t="shared" si="134"/>
        <v>4</v>
      </c>
      <c r="AD213" s="231">
        <f t="shared" si="134"/>
        <v>4</v>
      </c>
      <c r="AE213" s="231">
        <f t="shared" si="134"/>
        <v>4</v>
      </c>
      <c r="AF213" s="231">
        <f t="shared" si="134"/>
        <v>4</v>
      </c>
      <c r="AG213" s="231">
        <f t="shared" si="134"/>
        <v>4</v>
      </c>
      <c r="AH213" s="231">
        <f t="shared" si="134"/>
        <v>4</v>
      </c>
      <c r="AI213" s="231">
        <f t="shared" si="134"/>
        <v>4</v>
      </c>
      <c r="AJ213" s="231">
        <f t="shared" si="134"/>
        <v>4</v>
      </c>
      <c r="AK213" s="231">
        <f t="shared" si="134"/>
        <v>4</v>
      </c>
      <c r="AL213" s="231">
        <f t="shared" si="134"/>
        <v>0</v>
      </c>
      <c r="AM213" s="231">
        <f t="shared" si="134"/>
        <v>5</v>
      </c>
      <c r="AN213" s="231">
        <f t="shared" si="134"/>
        <v>0</v>
      </c>
      <c r="AO213" s="231">
        <f t="shared" si="134"/>
        <v>99</v>
      </c>
      <c r="AP213" s="231">
        <f t="shared" si="134"/>
        <v>99</v>
      </c>
      <c r="AR213" s="231"/>
      <c r="AS213" s="231"/>
      <c r="AV213" s="231"/>
      <c r="AW213" s="231"/>
      <c r="BG213" s="231">
        <f>IF(ISNA(BG210),-1,IF(ISNA(BG212),99,IF(ISNA(BG211),BG210,0)))</f>
        <v>0</v>
      </c>
      <c r="BH213" s="231"/>
    </row>
    <row r="214" spans="1:60">
      <c r="B214" s="22" t="str">
        <f t="shared" ref="B214:B221" si="135">IF(A214="*","","COM_PROJ")</f>
        <v>COM_PROJ</v>
      </c>
      <c r="C214" s="23" t="str">
        <f t="shared" ref="C214:C221" si="136">IF($A214="*","","-")</f>
        <v>-</v>
      </c>
      <c r="D214" s="61" t="str">
        <f t="shared" ref="D214:D221" si="137">B186</f>
        <v>TPPRCAR</v>
      </c>
      <c r="E214" s="23" t="str">
        <f t="shared" ref="E214:H221" si="138">IF($A214="*","","-")</f>
        <v>-</v>
      </c>
      <c r="F214" s="23" t="str">
        <f t="shared" si="138"/>
        <v>-</v>
      </c>
      <c r="G214" s="23" t="str">
        <f t="shared" si="138"/>
        <v>-</v>
      </c>
      <c r="H214" s="23" t="str">
        <f t="shared" si="138"/>
        <v>-</v>
      </c>
      <c r="I214" s="22">
        <f t="shared" ref="I214:I221" si="139">IF(A214="*","",0)</f>
        <v>0</v>
      </c>
      <c r="J214" s="228">
        <f>INDEX('[3]TS BYDem'!J$10:J$59,MATCH($D214,'[3]TS BYDem'!D$10:D$59,0))</f>
        <v>87.436118489606955</v>
      </c>
      <c r="K214" s="228">
        <f t="shared" ref="K214:K221" si="140">IF(K$213=-1,L214,IF(K$213=99,BG214,IF(K$213=0,INDEX($E186:$K186,0,K$211),(INDEX($E186:$K186,0,K$213+1)-INDEX($E186:$K186,0,K$213))/(INDEX($E$185:$K$185,0,K$213+1)-INDEX($E$185:$K$185,0,K$213))+BG214)))</f>
        <v>88.690745659737829</v>
      </c>
      <c r="L214" s="228">
        <f t="shared" ref="L214:AL221" si="141">IF(L$213=-1,M214,IF(L$213=99,K214,IF(L$213=0,INDEX($E186:$K186,0,L$211),(INDEX($E186:$K186,0,L$213+1)-INDEX($E186:$K186,0,L$213))/(INDEX($E$185:$K$185,0,L$213+1)-INDEX($E$185:$K$185,0,L$213))+K214)))</f>
        <v>89.945372829868916</v>
      </c>
      <c r="M214" s="228">
        <f t="shared" si="141"/>
        <v>91.2</v>
      </c>
      <c r="N214" s="228">
        <f t="shared" si="141"/>
        <v>92.44</v>
      </c>
      <c r="O214" s="228">
        <f t="shared" si="141"/>
        <v>93.68</v>
      </c>
      <c r="P214" s="228">
        <f t="shared" si="141"/>
        <v>94.920000000000016</v>
      </c>
      <c r="Q214" s="228">
        <f t="shared" si="141"/>
        <v>96.160000000000025</v>
      </c>
      <c r="R214" s="228">
        <f t="shared" si="141"/>
        <v>93.68</v>
      </c>
      <c r="S214" s="228">
        <f t="shared" si="141"/>
        <v>93.721288102870531</v>
      </c>
      <c r="T214" s="228">
        <f t="shared" si="141"/>
        <v>93.762576205741055</v>
      </c>
      <c r="U214" s="228">
        <f t="shared" si="141"/>
        <v>93.80386430861158</v>
      </c>
      <c r="V214" s="228">
        <f t="shared" si="141"/>
        <v>93.845152411482104</v>
      </c>
      <c r="W214" s="228">
        <f t="shared" si="141"/>
        <v>93.886440514352628</v>
      </c>
      <c r="X214" s="228">
        <f t="shared" si="141"/>
        <v>93.927728617223153</v>
      </c>
      <c r="Y214" s="228">
        <f t="shared" si="141"/>
        <v>93.969016720093677</v>
      </c>
      <c r="Z214" s="228">
        <f t="shared" si="141"/>
        <v>94.010304822964201</v>
      </c>
      <c r="AA214" s="228">
        <f t="shared" si="141"/>
        <v>94.051592925834726</v>
      </c>
      <c r="AB214" s="228">
        <f t="shared" si="141"/>
        <v>93.803864308611566</v>
      </c>
      <c r="AC214" s="228">
        <f t="shared" si="141"/>
        <v>95.676061294162153</v>
      </c>
      <c r="AD214" s="228">
        <f t="shared" si="141"/>
        <v>97.548258279712741</v>
      </c>
      <c r="AE214" s="228">
        <f t="shared" si="141"/>
        <v>99.420455265263328</v>
      </c>
      <c r="AF214" s="228">
        <f t="shared" si="141"/>
        <v>101.29265225081392</v>
      </c>
      <c r="AG214" s="228">
        <f t="shared" si="141"/>
        <v>103.1648492363645</v>
      </c>
      <c r="AH214" s="228">
        <f t="shared" si="141"/>
        <v>105.03704622191509</v>
      </c>
      <c r="AI214" s="228">
        <f t="shared" si="141"/>
        <v>106.90924320746568</v>
      </c>
      <c r="AJ214" s="228">
        <f t="shared" si="141"/>
        <v>108.78144019301627</v>
      </c>
      <c r="AK214" s="228">
        <f t="shared" si="141"/>
        <v>110.65363717856685</v>
      </c>
      <c r="AL214" s="228">
        <f t="shared" si="141"/>
        <v>112.52583416411741</v>
      </c>
      <c r="AM214" s="258">
        <f>(AL214+AN214)/2</f>
        <v>122.91397599932131</v>
      </c>
      <c r="AN214" s="228">
        <f t="shared" ref="AN214:AO221" si="142">IF(AN$213=-1,AO214,IF(AN$213=99,AM214,IF(AN$213=0,INDEX($E186:$K186,0,AN$211),(INDEX($E186:$K186,0,AN$213+1)-INDEX($E186:$K186,0,AN$213))/(INDEX($E$185:$K$185,0,AN$213+1)-INDEX($E$185:$K$185,0,AN$213))+AM214)))</f>
        <v>133.30211783452521</v>
      </c>
      <c r="AO214" s="228">
        <f t="shared" si="142"/>
        <v>133.30211783452521</v>
      </c>
      <c r="AP214" s="228">
        <f t="shared" ref="AP214:AP221" si="143">IF(AP$213=-1,AR214,IF(AP$213=99,AO214,IF(AP$213=0,INDEX($E186:$K186,0,AP$211),(INDEX($E186:$K186,0,AP$213+1)-INDEX($E186:$K186,0,AP$213))/(INDEX($E$185:$K$185,0,AP$213+1)-INDEX($E$185:$K$185,0,AP$213))+AO214)))</f>
        <v>133.30211783452521</v>
      </c>
      <c r="AR214" s="228"/>
      <c r="AS214" s="228"/>
      <c r="AV214" s="228"/>
      <c r="AW214" s="228"/>
      <c r="BG214" s="228">
        <f t="shared" ref="BG214:BG221" si="144">E186</f>
        <v>87.436118489606741</v>
      </c>
      <c r="BH214" s="130">
        <f t="shared" ref="BH214:BH221" si="145">(J214-BG214)/J214</f>
        <v>2.4379263902636247E-15</v>
      </c>
    </row>
    <row r="215" spans="1:60">
      <c r="B215" s="22" t="str">
        <f t="shared" si="135"/>
        <v>COM_PROJ</v>
      </c>
      <c r="C215" s="23" t="str">
        <f t="shared" si="136"/>
        <v>-</v>
      </c>
      <c r="D215" s="61" t="str">
        <f t="shared" si="137"/>
        <v>TPPRSUV</v>
      </c>
      <c r="E215" s="23" t="str">
        <f t="shared" si="138"/>
        <v>-</v>
      </c>
      <c r="F215" s="23" t="str">
        <f t="shared" si="138"/>
        <v>-</v>
      </c>
      <c r="G215" s="23" t="str">
        <f t="shared" si="138"/>
        <v>-</v>
      </c>
      <c r="H215" s="23" t="str">
        <f t="shared" si="138"/>
        <v>-</v>
      </c>
      <c r="I215" s="22">
        <f t="shared" si="139"/>
        <v>0</v>
      </c>
      <c r="J215" s="228">
        <f>INDEX('[3]TS BYDem'!J$10:J$59,MATCH($D215,'[3]TS BYDem'!D$10:D$59,0))</f>
        <v>10.045687245472017</v>
      </c>
      <c r="K215" s="228">
        <f t="shared" si="140"/>
        <v>11.468606546014028</v>
      </c>
      <c r="L215" s="228">
        <f t="shared" si="141"/>
        <v>12.891525846556059</v>
      </c>
      <c r="M215" s="228">
        <f t="shared" si="141"/>
        <v>14.314445147098091</v>
      </c>
      <c r="N215" s="228">
        <f t="shared" si="141"/>
        <v>15.854410734058231</v>
      </c>
      <c r="O215" s="228">
        <f t="shared" si="141"/>
        <v>17.39437632101837</v>
      </c>
      <c r="P215" s="228">
        <f t="shared" si="141"/>
        <v>18.93434190797851</v>
      </c>
      <c r="Q215" s="228">
        <f t="shared" si="141"/>
        <v>20.47430749493865</v>
      </c>
      <c r="R215" s="228">
        <f t="shared" si="141"/>
        <v>17.39437632101837</v>
      </c>
      <c r="S215" s="228">
        <f t="shared" si="141"/>
        <v>15.186483467637832</v>
      </c>
      <c r="T215" s="228">
        <f t="shared" si="141"/>
        <v>12.978590614257293</v>
      </c>
      <c r="U215" s="228">
        <f t="shared" si="141"/>
        <v>10.770697760876754</v>
      </c>
      <c r="V215" s="228">
        <f t="shared" si="141"/>
        <v>8.5628049074962149</v>
      </c>
      <c r="W215" s="228">
        <f t="shared" si="141"/>
        <v>6.3549120541156761</v>
      </c>
      <c r="X215" s="228">
        <f t="shared" si="141"/>
        <v>4.1470192007351372</v>
      </c>
      <c r="Y215" s="228">
        <f t="shared" si="141"/>
        <v>1.9391263473545979</v>
      </c>
      <c r="Z215" s="228">
        <f t="shared" si="141"/>
        <v>-0.26876650602594143</v>
      </c>
      <c r="AA215" s="228">
        <f t="shared" si="141"/>
        <v>-2.4766593594064807</v>
      </c>
      <c r="AB215" s="228">
        <f t="shared" si="141"/>
        <v>10.770697760876752</v>
      </c>
      <c r="AC215" s="228">
        <f t="shared" si="141"/>
        <v>10.985666174265866</v>
      </c>
      <c r="AD215" s="228">
        <f t="shared" si="141"/>
        <v>11.20063458765498</v>
      </c>
      <c r="AE215" s="228">
        <f t="shared" si="141"/>
        <v>11.415603001044094</v>
      </c>
      <c r="AF215" s="228">
        <f t="shared" si="141"/>
        <v>11.630571414433208</v>
      </c>
      <c r="AG215" s="228">
        <f t="shared" si="141"/>
        <v>11.845539827822321</v>
      </c>
      <c r="AH215" s="228">
        <f t="shared" si="141"/>
        <v>12.060508241211435</v>
      </c>
      <c r="AI215" s="228">
        <f t="shared" si="141"/>
        <v>12.275476654600549</v>
      </c>
      <c r="AJ215" s="228">
        <f t="shared" si="141"/>
        <v>12.490445067989663</v>
      </c>
      <c r="AK215" s="228">
        <f t="shared" si="141"/>
        <v>12.705413481378777</v>
      </c>
      <c r="AL215" s="228">
        <f t="shared" si="141"/>
        <v>12.920381894767884</v>
      </c>
      <c r="AM215" s="258">
        <f t="shared" ref="AM215:AM221" si="146">(AL215+AN215)/2</f>
        <v>14.113163629601265</v>
      </c>
      <c r="AN215" s="228">
        <f t="shared" si="142"/>
        <v>15.305945364434647</v>
      </c>
      <c r="AO215" s="228">
        <f t="shared" si="142"/>
        <v>15.305945364434647</v>
      </c>
      <c r="AP215" s="228">
        <f t="shared" si="143"/>
        <v>15.305945364434647</v>
      </c>
      <c r="AR215" s="228"/>
      <c r="AS215" s="228"/>
      <c r="AV215" s="228"/>
      <c r="AW215" s="228"/>
      <c r="BG215" s="228">
        <f t="shared" si="144"/>
        <v>10.045687245471997</v>
      </c>
      <c r="BH215" s="130">
        <f t="shared" si="145"/>
        <v>1.9451058704032579E-15</v>
      </c>
    </row>
    <row r="216" spans="1:60">
      <c r="B216" s="22" t="str">
        <f t="shared" si="135"/>
        <v>COM_PROJ</v>
      </c>
      <c r="C216" s="23" t="str">
        <f t="shared" si="136"/>
        <v>-</v>
      </c>
      <c r="D216" s="61" t="str">
        <f t="shared" si="137"/>
        <v>TPPRMOT</v>
      </c>
      <c r="E216" s="23" t="str">
        <f t="shared" si="138"/>
        <v>-</v>
      </c>
      <c r="F216" s="23" t="str">
        <f t="shared" si="138"/>
        <v>-</v>
      </c>
      <c r="G216" s="23" t="str">
        <f t="shared" si="138"/>
        <v>-</v>
      </c>
      <c r="H216" s="23" t="str">
        <f t="shared" si="138"/>
        <v>-</v>
      </c>
      <c r="I216" s="22">
        <f t="shared" si="139"/>
        <v>0</v>
      </c>
      <c r="J216" s="228">
        <f>INDEX('[3]TS BYDem'!J$10:J$59,MATCH($D216,'[3]TS BYDem'!D$10:D$59,0))</f>
        <v>4.788655061211033</v>
      </c>
      <c r="K216" s="228">
        <f t="shared" si="140"/>
        <v>4.4924367074740132</v>
      </c>
      <c r="L216" s="228">
        <f t="shared" si="141"/>
        <v>4.1962183537370059</v>
      </c>
      <c r="M216" s="228">
        <f t="shared" si="141"/>
        <v>3.9</v>
      </c>
      <c r="N216" s="228">
        <f t="shared" si="141"/>
        <v>3.6673978942403949</v>
      </c>
      <c r="O216" s="228">
        <f t="shared" si="141"/>
        <v>3.4347957884807903</v>
      </c>
      <c r="P216" s="228">
        <f t="shared" si="141"/>
        <v>3.2021936827211857</v>
      </c>
      <c r="Q216" s="228">
        <f t="shared" si="141"/>
        <v>2.969591576961581</v>
      </c>
      <c r="R216" s="228">
        <f t="shared" si="141"/>
        <v>3.4347957884807903</v>
      </c>
      <c r="S216" s="228">
        <f t="shared" si="141"/>
        <v>3.5137193005772782</v>
      </c>
      <c r="T216" s="228">
        <f t="shared" si="141"/>
        <v>3.5926428126737662</v>
      </c>
      <c r="U216" s="228">
        <f t="shared" si="141"/>
        <v>3.6715663247702541</v>
      </c>
      <c r="V216" s="228">
        <f t="shared" si="141"/>
        <v>3.7504898368667421</v>
      </c>
      <c r="W216" s="228">
        <f t="shared" si="141"/>
        <v>3.82941334896323</v>
      </c>
      <c r="X216" s="228">
        <f t="shared" si="141"/>
        <v>3.908336861059718</v>
      </c>
      <c r="Y216" s="228">
        <f t="shared" si="141"/>
        <v>3.987260373156206</v>
      </c>
      <c r="Z216" s="228">
        <f t="shared" si="141"/>
        <v>4.0661838852526939</v>
      </c>
      <c r="AA216" s="228">
        <f t="shared" si="141"/>
        <v>4.1451073973491823</v>
      </c>
      <c r="AB216" s="228">
        <f t="shared" si="141"/>
        <v>3.6715663247702541</v>
      </c>
      <c r="AC216" s="228">
        <f t="shared" si="141"/>
        <v>3.7448457728628082</v>
      </c>
      <c r="AD216" s="228">
        <f t="shared" si="141"/>
        <v>3.8181252209553627</v>
      </c>
      <c r="AE216" s="228">
        <f t="shared" si="141"/>
        <v>3.8914046690479172</v>
      </c>
      <c r="AF216" s="228">
        <f t="shared" si="141"/>
        <v>3.9646841171404716</v>
      </c>
      <c r="AG216" s="228">
        <f t="shared" si="141"/>
        <v>4.0379635652330261</v>
      </c>
      <c r="AH216" s="228">
        <f t="shared" si="141"/>
        <v>4.1112430133255806</v>
      </c>
      <c r="AI216" s="228">
        <f t="shared" si="141"/>
        <v>4.1845224614181351</v>
      </c>
      <c r="AJ216" s="228">
        <f t="shared" si="141"/>
        <v>4.2578019095106896</v>
      </c>
      <c r="AK216" s="228">
        <f t="shared" si="141"/>
        <v>4.3310813576032441</v>
      </c>
      <c r="AL216" s="228">
        <f t="shared" si="141"/>
        <v>4.4043608056957968</v>
      </c>
      <c r="AM216" s="258">
        <f t="shared" si="146"/>
        <v>4.8109618771995244</v>
      </c>
      <c r="AN216" s="228">
        <f t="shared" si="142"/>
        <v>5.217562948703252</v>
      </c>
      <c r="AO216" s="228">
        <f t="shared" si="142"/>
        <v>5.217562948703252</v>
      </c>
      <c r="AP216" s="228">
        <f t="shared" si="143"/>
        <v>5.217562948703252</v>
      </c>
      <c r="AR216" s="228"/>
      <c r="AS216" s="228"/>
      <c r="AV216" s="228"/>
      <c r="AW216" s="228"/>
      <c r="BG216" s="228">
        <f t="shared" si="144"/>
        <v>4.7886550612110206</v>
      </c>
      <c r="BH216" s="130">
        <f t="shared" si="145"/>
        <v>2.5966576662669697E-15</v>
      </c>
    </row>
    <row r="217" spans="1:60">
      <c r="B217" s="22" t="str">
        <f t="shared" si="135"/>
        <v>COM_PROJ</v>
      </c>
      <c r="C217" s="23" t="str">
        <f t="shared" si="136"/>
        <v>-</v>
      </c>
      <c r="D217" s="61" t="str">
        <f t="shared" si="137"/>
        <v>TPPUBUS</v>
      </c>
      <c r="E217" s="23" t="str">
        <f t="shared" si="138"/>
        <v>-</v>
      </c>
      <c r="F217" s="23" t="str">
        <f t="shared" si="138"/>
        <v>-</v>
      </c>
      <c r="G217" s="23" t="str">
        <f t="shared" si="138"/>
        <v>-</v>
      </c>
      <c r="H217" s="23" t="str">
        <f t="shared" si="138"/>
        <v>-</v>
      </c>
      <c r="I217" s="22">
        <f t="shared" si="139"/>
        <v>0</v>
      </c>
      <c r="J217" s="228">
        <f>INDEX('[3]TS BYDem'!J$10:J$59,MATCH($D217,'[3]TS BYDem'!D$10:D$59,0))</f>
        <v>0.61799148971759088</v>
      </c>
      <c r="K217" s="228">
        <f t="shared" si="140"/>
        <v>0.6286609931450593</v>
      </c>
      <c r="L217" s="228">
        <f t="shared" si="141"/>
        <v>0.63933049657252961</v>
      </c>
      <c r="M217" s="228">
        <f t="shared" si="141"/>
        <v>0.65</v>
      </c>
      <c r="N217" s="228">
        <f t="shared" si="141"/>
        <v>0.66077214814486951</v>
      </c>
      <c r="O217" s="228">
        <f t="shared" si="141"/>
        <v>0.671544296289739</v>
      </c>
      <c r="P217" s="228">
        <f t="shared" si="141"/>
        <v>0.68231644443460848</v>
      </c>
      <c r="Q217" s="228">
        <f t="shared" si="141"/>
        <v>0.69308859257947797</v>
      </c>
      <c r="R217" s="228">
        <f t="shared" si="141"/>
        <v>0.671544296289739</v>
      </c>
      <c r="S217" s="228">
        <f t="shared" si="141"/>
        <v>0.6791310931208675</v>
      </c>
      <c r="T217" s="228">
        <f t="shared" si="141"/>
        <v>0.68671788995199601</v>
      </c>
      <c r="U217" s="228">
        <f t="shared" si="141"/>
        <v>0.69430468678312451</v>
      </c>
      <c r="V217" s="228">
        <f t="shared" si="141"/>
        <v>0.70189148361425302</v>
      </c>
      <c r="W217" s="228">
        <f t="shared" si="141"/>
        <v>0.70947828044538153</v>
      </c>
      <c r="X217" s="228">
        <f t="shared" si="141"/>
        <v>0.71706507727651003</v>
      </c>
      <c r="Y217" s="228">
        <f t="shared" si="141"/>
        <v>0.72465187410763854</v>
      </c>
      <c r="Z217" s="228">
        <f t="shared" si="141"/>
        <v>0.73223867093876704</v>
      </c>
      <c r="AA217" s="228">
        <f t="shared" si="141"/>
        <v>0.73982546776989555</v>
      </c>
      <c r="AB217" s="228">
        <f t="shared" si="141"/>
        <v>0.69430468678312451</v>
      </c>
      <c r="AC217" s="228">
        <f t="shared" si="141"/>
        <v>0.71587654160202607</v>
      </c>
      <c r="AD217" s="228">
        <f t="shared" si="141"/>
        <v>0.73744839642092763</v>
      </c>
      <c r="AE217" s="228">
        <f t="shared" si="141"/>
        <v>0.75902025123982919</v>
      </c>
      <c r="AF217" s="228">
        <f t="shared" si="141"/>
        <v>0.78059210605873075</v>
      </c>
      <c r="AG217" s="228">
        <f t="shared" si="141"/>
        <v>0.80216396087763231</v>
      </c>
      <c r="AH217" s="228">
        <f t="shared" si="141"/>
        <v>0.82373581569653387</v>
      </c>
      <c r="AI217" s="228">
        <f t="shared" si="141"/>
        <v>0.84530767051543543</v>
      </c>
      <c r="AJ217" s="228">
        <f t="shared" si="141"/>
        <v>0.86687952533433699</v>
      </c>
      <c r="AK217" s="228">
        <f t="shared" si="141"/>
        <v>0.88845138015323855</v>
      </c>
      <c r="AL217" s="228">
        <f t="shared" si="141"/>
        <v>0.9100232349721401</v>
      </c>
      <c r="AM217" s="258">
        <f t="shared" si="146"/>
        <v>0.85532990423306221</v>
      </c>
      <c r="AN217" s="228">
        <f t="shared" si="142"/>
        <v>0.8006365734939842</v>
      </c>
      <c r="AO217" s="228">
        <f t="shared" si="142"/>
        <v>0.8006365734939842</v>
      </c>
      <c r="AP217" s="228">
        <f t="shared" si="143"/>
        <v>0.8006365734939842</v>
      </c>
      <c r="AR217" s="228"/>
      <c r="AS217" s="228"/>
      <c r="AV217" s="228"/>
      <c r="AW217" s="228"/>
      <c r="BG217" s="228">
        <f t="shared" si="144"/>
        <v>0.61799148971758899</v>
      </c>
      <c r="BH217" s="130">
        <f t="shared" si="145"/>
        <v>3.0540536128179675E-15</v>
      </c>
    </row>
    <row r="218" spans="1:60">
      <c r="B218" s="22" t="str">
        <f t="shared" si="135"/>
        <v>COM_PROJ</v>
      </c>
      <c r="C218" s="23" t="str">
        <f t="shared" si="136"/>
        <v>-</v>
      </c>
      <c r="D218" s="61" t="str">
        <f t="shared" si="137"/>
        <v>TPPUMBT</v>
      </c>
      <c r="E218" s="23" t="str">
        <f t="shared" si="138"/>
        <v>-</v>
      </c>
      <c r="F218" s="23" t="str">
        <f t="shared" si="138"/>
        <v>-</v>
      </c>
      <c r="G218" s="23" t="str">
        <f t="shared" si="138"/>
        <v>-</v>
      </c>
      <c r="H218" s="23" t="str">
        <f t="shared" si="138"/>
        <v>-</v>
      </c>
      <c r="I218" s="22">
        <f t="shared" si="139"/>
        <v>0</v>
      </c>
      <c r="J218" s="228">
        <f>INDEX('[3]TS BYDem'!J$10:J$59,MATCH($D218,'[3]TS BYDem'!D$10:D$59,0))</f>
        <v>6.4978638621089795</v>
      </c>
      <c r="K218" s="228">
        <f t="shared" si="140"/>
        <v>6.8173364530273304</v>
      </c>
      <c r="L218" s="228">
        <f t="shared" si="141"/>
        <v>6.8586682265136654</v>
      </c>
      <c r="M218" s="228">
        <f t="shared" si="141"/>
        <v>6.9</v>
      </c>
      <c r="N218" s="228">
        <f t="shared" si="141"/>
        <v>7.0212765000000008</v>
      </c>
      <c r="O218" s="228">
        <f t="shared" si="141"/>
        <v>7.1425530000000013</v>
      </c>
      <c r="P218" s="228">
        <f t="shared" si="141"/>
        <v>7.2638295000000017</v>
      </c>
      <c r="Q218" s="228">
        <f t="shared" si="141"/>
        <v>7.3851060000000022</v>
      </c>
      <c r="R218" s="228">
        <f t="shared" si="141"/>
        <v>7.1425530000000004</v>
      </c>
      <c r="S218" s="228">
        <f t="shared" si="141"/>
        <v>7.1951213423939748</v>
      </c>
      <c r="T218" s="228">
        <f t="shared" si="141"/>
        <v>7.2476896847879493</v>
      </c>
      <c r="U218" s="228">
        <f t="shared" si="141"/>
        <v>7.3002580271819237</v>
      </c>
      <c r="V218" s="228">
        <f t="shared" si="141"/>
        <v>7.3528263695758982</v>
      </c>
      <c r="W218" s="228">
        <f t="shared" si="141"/>
        <v>7.4053947119698726</v>
      </c>
      <c r="X218" s="228">
        <f t="shared" si="141"/>
        <v>7.4579630543638471</v>
      </c>
      <c r="Y218" s="228">
        <f t="shared" si="141"/>
        <v>7.5105313967578216</v>
      </c>
      <c r="Z218" s="228">
        <f t="shared" si="141"/>
        <v>7.563099739151796</v>
      </c>
      <c r="AA218" s="228">
        <f t="shared" si="141"/>
        <v>7.6156680815457705</v>
      </c>
      <c r="AB218" s="228">
        <f t="shared" si="141"/>
        <v>7.3002580271819228</v>
      </c>
      <c r="AC218" s="228">
        <f t="shared" si="141"/>
        <v>7.3229739180353288</v>
      </c>
      <c r="AD218" s="228">
        <f t="shared" si="141"/>
        <v>7.3456898088887348</v>
      </c>
      <c r="AE218" s="228">
        <f t="shared" si="141"/>
        <v>7.3684056997421408</v>
      </c>
      <c r="AF218" s="228">
        <f t="shared" si="141"/>
        <v>7.3911215905955467</v>
      </c>
      <c r="AG218" s="228">
        <f t="shared" si="141"/>
        <v>7.4138374814489527</v>
      </c>
      <c r="AH218" s="228">
        <f t="shared" si="141"/>
        <v>7.4365533723023587</v>
      </c>
      <c r="AI218" s="228">
        <f t="shared" si="141"/>
        <v>7.4592692631557647</v>
      </c>
      <c r="AJ218" s="228">
        <f t="shared" si="141"/>
        <v>7.4819851540091706</v>
      </c>
      <c r="AK218" s="228">
        <f t="shared" si="141"/>
        <v>7.5047010448625766</v>
      </c>
      <c r="AL218" s="228">
        <f t="shared" si="141"/>
        <v>7.5274169357159861</v>
      </c>
      <c r="AM218" s="258">
        <f t="shared" si="146"/>
        <v>7.545751554092571</v>
      </c>
      <c r="AN218" s="228">
        <f t="shared" si="142"/>
        <v>7.5640861724691559</v>
      </c>
      <c r="AO218" s="228">
        <f t="shared" si="142"/>
        <v>7.5640861724691559</v>
      </c>
      <c r="AP218" s="228">
        <f t="shared" si="143"/>
        <v>7.5640861724691559</v>
      </c>
      <c r="AR218" s="228"/>
      <c r="AS218" s="228"/>
      <c r="AV218" s="228"/>
      <c r="AW218" s="228"/>
      <c r="BG218" s="228">
        <f t="shared" si="144"/>
        <v>6.7760046795409954</v>
      </c>
      <c r="BH218" s="130">
        <f t="shared" si="145"/>
        <v>-4.2804962266744247E-2</v>
      </c>
    </row>
    <row r="219" spans="1:60">
      <c r="B219" s="22" t="str">
        <f t="shared" si="135"/>
        <v>COM_PROJ</v>
      </c>
      <c r="C219" s="23" t="str">
        <f t="shared" si="136"/>
        <v>-</v>
      </c>
      <c r="D219" s="61" t="str">
        <f t="shared" si="137"/>
        <v>TPPUBRT</v>
      </c>
      <c r="E219" s="23" t="str">
        <f t="shared" si="138"/>
        <v>-</v>
      </c>
      <c r="F219" s="23" t="str">
        <f t="shared" si="138"/>
        <v>-</v>
      </c>
      <c r="G219" s="23" t="str">
        <f t="shared" si="138"/>
        <v>-</v>
      </c>
      <c r="H219" s="23" t="str">
        <f t="shared" si="138"/>
        <v>-</v>
      </c>
      <c r="I219" s="22">
        <f t="shared" si="139"/>
        <v>0</v>
      </c>
      <c r="J219" s="228">
        <f>INDEX('[3]TS BYDem'!J$10:J$59,MATCH($D219,'[3]TS BYDem'!D$10:D$59,0))</f>
        <v>0</v>
      </c>
      <c r="K219" s="228">
        <f t="shared" si="140"/>
        <v>2.3283952202556055E-2</v>
      </c>
      <c r="L219" s="228">
        <f t="shared" si="141"/>
        <v>2.3660983976108128E-2</v>
      </c>
      <c r="M219" s="228">
        <f t="shared" si="141"/>
        <v>2.4038015749660205E-2</v>
      </c>
      <c r="N219" s="228">
        <f t="shared" si="141"/>
        <v>2.4436702510710735E-2</v>
      </c>
      <c r="O219" s="228">
        <f t="shared" si="141"/>
        <v>2.4835389271761266E-2</v>
      </c>
      <c r="P219" s="228">
        <f t="shared" si="141"/>
        <v>2.5234076032811796E-2</v>
      </c>
      <c r="Q219" s="228">
        <f t="shared" si="141"/>
        <v>2.5632762793862326E-2</v>
      </c>
      <c r="R219" s="228">
        <f t="shared" si="141"/>
        <v>2.4835389271761269E-2</v>
      </c>
      <c r="S219" s="228">
        <f t="shared" si="141"/>
        <v>8.9559578034404161E-2</v>
      </c>
      <c r="T219" s="228">
        <f t="shared" si="141"/>
        <v>0.15428376679704706</v>
      </c>
      <c r="U219" s="228">
        <f t="shared" si="141"/>
        <v>0.21900795555968994</v>
      </c>
      <c r="V219" s="228">
        <f t="shared" si="141"/>
        <v>0.28373214432233285</v>
      </c>
      <c r="W219" s="228">
        <f t="shared" si="141"/>
        <v>0.34845633308497576</v>
      </c>
      <c r="X219" s="228">
        <f t="shared" si="141"/>
        <v>0.41318052184761866</v>
      </c>
      <c r="Y219" s="228">
        <f t="shared" si="141"/>
        <v>0.47790471061026157</v>
      </c>
      <c r="Z219" s="228">
        <f t="shared" si="141"/>
        <v>0.54262889937290448</v>
      </c>
      <c r="AA219" s="228">
        <f t="shared" si="141"/>
        <v>0.60735308813554734</v>
      </c>
      <c r="AB219" s="228">
        <f t="shared" si="141"/>
        <v>0.21900795555968994</v>
      </c>
      <c r="AC219" s="228">
        <f t="shared" si="141"/>
        <v>0.25002995445579612</v>
      </c>
      <c r="AD219" s="228">
        <f t="shared" si="141"/>
        <v>0.28105195335190225</v>
      </c>
      <c r="AE219" s="228">
        <f t="shared" si="141"/>
        <v>0.31207395224800838</v>
      </c>
      <c r="AF219" s="228">
        <f t="shared" si="141"/>
        <v>0.34309595114411451</v>
      </c>
      <c r="AG219" s="228">
        <f t="shared" si="141"/>
        <v>0.37411795004022064</v>
      </c>
      <c r="AH219" s="228">
        <f t="shared" si="141"/>
        <v>0.40513994893632677</v>
      </c>
      <c r="AI219" s="228">
        <f t="shared" si="141"/>
        <v>0.43616194783243289</v>
      </c>
      <c r="AJ219" s="228">
        <f t="shared" si="141"/>
        <v>0.46718394672853902</v>
      </c>
      <c r="AK219" s="228">
        <f t="shared" si="141"/>
        <v>0.49820594562464515</v>
      </c>
      <c r="AL219" s="228">
        <f t="shared" si="141"/>
        <v>0.5292279445207515</v>
      </c>
      <c r="AM219" s="258">
        <f t="shared" si="146"/>
        <v>0.77659340774482299</v>
      </c>
      <c r="AN219" s="228">
        <f t="shared" si="142"/>
        <v>1.0239588709688945</v>
      </c>
      <c r="AO219" s="228">
        <f t="shared" si="142"/>
        <v>1.0239588709688945</v>
      </c>
      <c r="AP219" s="228">
        <f t="shared" si="143"/>
        <v>1.0239588709688945</v>
      </c>
      <c r="AR219" s="228"/>
      <c r="AS219" s="228"/>
      <c r="AV219" s="228"/>
      <c r="AW219" s="228"/>
      <c r="BG219" s="228">
        <f t="shared" si="144"/>
        <v>2.2906920429003982E-2</v>
      </c>
      <c r="BH219" s="130" t="e">
        <f t="shared" si="145"/>
        <v>#DIV/0!</v>
      </c>
    </row>
    <row r="220" spans="1:60">
      <c r="B220" s="22" t="str">
        <f t="shared" si="135"/>
        <v>COM_PROJ</v>
      </c>
      <c r="C220" s="23" t="str">
        <f t="shared" si="136"/>
        <v>-</v>
      </c>
      <c r="D220" s="61" t="str">
        <f t="shared" si="137"/>
        <v>TPPUMER</v>
      </c>
      <c r="E220" s="23" t="str">
        <f t="shared" si="138"/>
        <v>-</v>
      </c>
      <c r="F220" s="23" t="str">
        <f t="shared" si="138"/>
        <v>-</v>
      </c>
      <c r="G220" s="23" t="str">
        <f t="shared" si="138"/>
        <v>-</v>
      </c>
      <c r="H220" s="23" t="str">
        <f t="shared" si="138"/>
        <v>-</v>
      </c>
      <c r="I220" s="22">
        <f t="shared" si="139"/>
        <v>0</v>
      </c>
      <c r="J220" s="228">
        <f>INDEX('[3]TS BYDem'!J$10:J$59,MATCH($D220,'[3]TS BYDem'!D$10:D$59,0))</f>
        <v>15.8</v>
      </c>
      <c r="K220" s="228">
        <f t="shared" si="140"/>
        <v>16.86316604698926</v>
      </c>
      <c r="L220" s="228">
        <f t="shared" si="141"/>
        <v>17.250013690163964</v>
      </c>
      <c r="M220" s="228">
        <f t="shared" si="141"/>
        <v>17.636861333338672</v>
      </c>
      <c r="N220" s="228">
        <f t="shared" si="141"/>
        <v>17.730412645510775</v>
      </c>
      <c r="O220" s="228">
        <f t="shared" si="141"/>
        <v>17.823963957682878</v>
      </c>
      <c r="P220" s="228">
        <f t="shared" si="141"/>
        <v>17.917515269854981</v>
      </c>
      <c r="Q220" s="228">
        <f t="shared" si="141"/>
        <v>18.011066582027084</v>
      </c>
      <c r="R220" s="228">
        <f t="shared" si="141"/>
        <v>17.823963957682881</v>
      </c>
      <c r="S220" s="228">
        <f t="shared" si="141"/>
        <v>17.799668052611267</v>
      </c>
      <c r="T220" s="228">
        <f t="shared" si="141"/>
        <v>17.775372147539652</v>
      </c>
      <c r="U220" s="228">
        <f t="shared" si="141"/>
        <v>17.751076242468038</v>
      </c>
      <c r="V220" s="228">
        <f t="shared" si="141"/>
        <v>17.726780337396423</v>
      </c>
      <c r="W220" s="228">
        <f t="shared" si="141"/>
        <v>17.702484432324809</v>
      </c>
      <c r="X220" s="228">
        <f t="shared" si="141"/>
        <v>17.678188527253194</v>
      </c>
      <c r="Y220" s="228">
        <f t="shared" si="141"/>
        <v>17.65389262218158</v>
      </c>
      <c r="Z220" s="228">
        <f t="shared" si="141"/>
        <v>17.629596717109965</v>
      </c>
      <c r="AA220" s="228">
        <f t="shared" si="141"/>
        <v>17.605300812038351</v>
      </c>
      <c r="AB220" s="228">
        <f t="shared" si="141"/>
        <v>17.751076242468041</v>
      </c>
      <c r="AC220" s="228">
        <f t="shared" si="141"/>
        <v>17.321026044471083</v>
      </c>
      <c r="AD220" s="228">
        <f t="shared" si="141"/>
        <v>16.890975846474124</v>
      </c>
      <c r="AE220" s="228">
        <f t="shared" si="141"/>
        <v>16.460925648477165</v>
      </c>
      <c r="AF220" s="228">
        <f t="shared" si="141"/>
        <v>16.030875450480206</v>
      </c>
      <c r="AG220" s="228">
        <f t="shared" si="141"/>
        <v>15.600825252483247</v>
      </c>
      <c r="AH220" s="228">
        <f t="shared" si="141"/>
        <v>15.170775054486288</v>
      </c>
      <c r="AI220" s="228">
        <f t="shared" si="141"/>
        <v>14.740724856489329</v>
      </c>
      <c r="AJ220" s="228">
        <f t="shared" si="141"/>
        <v>14.310674658492371</v>
      </c>
      <c r="AK220" s="228">
        <f t="shared" si="141"/>
        <v>13.880624460495412</v>
      </c>
      <c r="AL220" s="228">
        <f t="shared" si="141"/>
        <v>13.450574262498447</v>
      </c>
      <c r="AM220" s="258">
        <f t="shared" si="146"/>
        <v>14.906083112306032</v>
      </c>
      <c r="AN220" s="228">
        <f t="shared" si="142"/>
        <v>16.361591962113614</v>
      </c>
      <c r="AO220" s="228">
        <f t="shared" si="142"/>
        <v>16.361591962113614</v>
      </c>
      <c r="AP220" s="228">
        <f t="shared" si="143"/>
        <v>16.361591962113614</v>
      </c>
      <c r="AR220" s="228"/>
      <c r="AS220" s="228"/>
      <c r="AV220" s="228"/>
      <c r="AW220" s="228"/>
      <c r="BG220" s="228">
        <f t="shared" si="144"/>
        <v>16.476318403814556</v>
      </c>
      <c r="BH220" s="130">
        <f t="shared" si="145"/>
        <v>-4.2804962266744004E-2</v>
      </c>
    </row>
    <row r="221" spans="1:60">
      <c r="B221" s="22" t="str">
        <f t="shared" si="135"/>
        <v>COM_PROJ</v>
      </c>
      <c r="C221" s="23" t="str">
        <f t="shared" si="136"/>
        <v>-</v>
      </c>
      <c r="D221" s="61" t="str">
        <f t="shared" si="137"/>
        <v>TPPUGAT</v>
      </c>
      <c r="E221" s="23" t="str">
        <f t="shared" si="138"/>
        <v>-</v>
      </c>
      <c r="F221" s="23" t="str">
        <f t="shared" si="138"/>
        <v>-</v>
      </c>
      <c r="G221" s="23" t="str">
        <f t="shared" si="138"/>
        <v>-</v>
      </c>
      <c r="H221" s="23" t="str">
        <f t="shared" si="138"/>
        <v>-</v>
      </c>
      <c r="I221" s="22">
        <f t="shared" si="139"/>
        <v>0</v>
      </c>
      <c r="J221" s="228">
        <f>INDEX('[3]TS BYDem'!J$10:J$59,MATCH($D221,'[3]TS BYDem'!D$10:D$59,0))</f>
        <v>0</v>
      </c>
      <c r="K221" s="228">
        <f t="shared" si="140"/>
        <v>0.63281099662838625</v>
      </c>
      <c r="L221" s="228">
        <f t="shared" si="141"/>
        <v>0.64590377975103752</v>
      </c>
      <c r="M221" s="228">
        <f t="shared" si="141"/>
        <v>0.65899656287368868</v>
      </c>
      <c r="N221" s="228">
        <f t="shared" si="141"/>
        <v>0.67325785334021937</v>
      </c>
      <c r="O221" s="228">
        <f t="shared" si="141"/>
        <v>0.68751914380675005</v>
      </c>
      <c r="P221" s="228">
        <f t="shared" si="141"/>
        <v>0.70178043427328074</v>
      </c>
      <c r="Q221" s="228">
        <f t="shared" si="141"/>
        <v>0.71604172473981142</v>
      </c>
      <c r="R221" s="228">
        <f t="shared" si="141"/>
        <v>0.68751914380675005</v>
      </c>
      <c r="S221" s="228">
        <f t="shared" si="141"/>
        <v>0.70215548856734533</v>
      </c>
      <c r="T221" s="228">
        <f t="shared" si="141"/>
        <v>0.71679183332794061</v>
      </c>
      <c r="U221" s="228">
        <f t="shared" si="141"/>
        <v>0.73142817808853589</v>
      </c>
      <c r="V221" s="228">
        <f t="shared" si="141"/>
        <v>0.74606452284913116</v>
      </c>
      <c r="W221" s="228">
        <f t="shared" si="141"/>
        <v>0.76070086760972644</v>
      </c>
      <c r="X221" s="228">
        <f t="shared" si="141"/>
        <v>0.77533721237032172</v>
      </c>
      <c r="Y221" s="228">
        <f t="shared" si="141"/>
        <v>0.78997355713091699</v>
      </c>
      <c r="Z221" s="228">
        <f t="shared" si="141"/>
        <v>0.80460990189151227</v>
      </c>
      <c r="AA221" s="228">
        <f t="shared" si="141"/>
        <v>0.81924624665210755</v>
      </c>
      <c r="AB221" s="228">
        <f t="shared" si="141"/>
        <v>0.73142817808853577</v>
      </c>
      <c r="AC221" s="228">
        <f t="shared" si="141"/>
        <v>0.7466295991843398</v>
      </c>
      <c r="AD221" s="228">
        <f t="shared" si="141"/>
        <v>0.76183102028014382</v>
      </c>
      <c r="AE221" s="228">
        <f t="shared" si="141"/>
        <v>0.77703244137594785</v>
      </c>
      <c r="AF221" s="228">
        <f t="shared" si="141"/>
        <v>0.79223386247175187</v>
      </c>
      <c r="AG221" s="228">
        <f t="shared" si="141"/>
        <v>0.80743528356755589</v>
      </c>
      <c r="AH221" s="228">
        <f t="shared" si="141"/>
        <v>0.82263670466335992</v>
      </c>
      <c r="AI221" s="228">
        <f t="shared" si="141"/>
        <v>0.83783812575916394</v>
      </c>
      <c r="AJ221" s="228">
        <f t="shared" si="141"/>
        <v>0.85303954685496797</v>
      </c>
      <c r="AK221" s="228">
        <f t="shared" si="141"/>
        <v>0.86824096795077199</v>
      </c>
      <c r="AL221" s="228">
        <f t="shared" si="141"/>
        <v>0.88344238904657568</v>
      </c>
      <c r="AM221" s="258">
        <f t="shared" si="146"/>
        <v>0.96854265888849567</v>
      </c>
      <c r="AN221" s="228">
        <f t="shared" si="142"/>
        <v>1.0536429287304157</v>
      </c>
      <c r="AO221" s="228">
        <f t="shared" si="142"/>
        <v>1.0536429287304157</v>
      </c>
      <c r="AP221" s="228">
        <f t="shared" si="143"/>
        <v>1.0536429287304157</v>
      </c>
      <c r="AR221" s="228"/>
      <c r="AS221" s="228"/>
      <c r="AV221" s="228"/>
      <c r="AW221" s="228"/>
      <c r="BG221" s="228">
        <f t="shared" si="144"/>
        <v>0.61971821350573497</v>
      </c>
      <c r="BH221" s="130" t="e">
        <f t="shared" si="145"/>
        <v>#DIV/0!</v>
      </c>
    </row>
    <row r="222" spans="1:60">
      <c r="A222" s="227" t="s">
        <v>17</v>
      </c>
    </row>
    <row r="223" spans="1:60" s="233" customFormat="1">
      <c r="A223" s="137" t="s">
        <v>17</v>
      </c>
      <c r="B223" s="233" t="s">
        <v>404</v>
      </c>
      <c r="C223" s="233">
        <v>1</v>
      </c>
      <c r="D223" s="233">
        <v>2006</v>
      </c>
      <c r="E223" s="233">
        <f>F4</f>
        <v>2015</v>
      </c>
      <c r="F223" s="233">
        <v>2020</v>
      </c>
      <c r="G223" s="233">
        <v>2030</v>
      </c>
      <c r="H223" s="233">
        <v>2040</v>
      </c>
      <c r="I223" s="283">
        <v>2050</v>
      </c>
      <c r="J223" s="137">
        <f>MATCH(J$209,$D$210:$I$210,$C223)</f>
        <v>1</v>
      </c>
      <c r="K223" s="233">
        <f t="shared" ref="K223:Z224" si="147">MATCH(K$227,$D$223:$I$223,$C223)</f>
        <v>1</v>
      </c>
      <c r="L223" s="233">
        <f t="shared" si="147"/>
        <v>1</v>
      </c>
      <c r="M223" s="233">
        <f t="shared" si="147"/>
        <v>2</v>
      </c>
      <c r="N223" s="233">
        <f t="shared" si="147"/>
        <v>2</v>
      </c>
      <c r="O223" s="233">
        <f t="shared" si="147"/>
        <v>2</v>
      </c>
      <c r="P223" s="233">
        <f t="shared" si="147"/>
        <v>2</v>
      </c>
      <c r="Q223" s="233">
        <f t="shared" si="147"/>
        <v>2</v>
      </c>
      <c r="R223" s="233">
        <f t="shared" si="147"/>
        <v>3</v>
      </c>
      <c r="S223" s="233">
        <f t="shared" si="147"/>
        <v>3</v>
      </c>
      <c r="T223" s="233">
        <f t="shared" si="147"/>
        <v>3</v>
      </c>
      <c r="U223" s="233">
        <f t="shared" si="147"/>
        <v>3</v>
      </c>
      <c r="V223" s="233">
        <f t="shared" si="147"/>
        <v>3</v>
      </c>
      <c r="W223" s="233">
        <f t="shared" si="147"/>
        <v>3</v>
      </c>
      <c r="X223" s="233">
        <f t="shared" si="147"/>
        <v>3</v>
      </c>
      <c r="Y223" s="233">
        <f t="shared" si="147"/>
        <v>3</v>
      </c>
      <c r="Z223" s="233">
        <f t="shared" si="147"/>
        <v>3</v>
      </c>
      <c r="AA223" s="233">
        <f t="shared" ref="AA223:AP224" si="148">MATCH(AA$227,$D$223:$I$223,$C223)</f>
        <v>3</v>
      </c>
      <c r="AB223" s="233">
        <f t="shared" si="148"/>
        <v>4</v>
      </c>
      <c r="AC223" s="233">
        <f t="shared" si="148"/>
        <v>4</v>
      </c>
      <c r="AD223" s="233">
        <f t="shared" si="148"/>
        <v>4</v>
      </c>
      <c r="AE223" s="233">
        <f t="shared" si="148"/>
        <v>4</v>
      </c>
      <c r="AF223" s="233">
        <f t="shared" si="148"/>
        <v>4</v>
      </c>
      <c r="AG223" s="233">
        <f t="shared" si="148"/>
        <v>4</v>
      </c>
      <c r="AH223" s="233">
        <f t="shared" si="148"/>
        <v>4</v>
      </c>
      <c r="AI223" s="233">
        <f t="shared" si="148"/>
        <v>4</v>
      </c>
      <c r="AJ223" s="233">
        <f t="shared" si="148"/>
        <v>4</v>
      </c>
      <c r="AK223" s="233">
        <f t="shared" si="148"/>
        <v>4</v>
      </c>
      <c r="AL223" s="233">
        <f t="shared" si="148"/>
        <v>5</v>
      </c>
      <c r="AM223" s="233">
        <f t="shared" si="148"/>
        <v>5</v>
      </c>
      <c r="AN223" s="233">
        <f t="shared" si="148"/>
        <v>5</v>
      </c>
      <c r="AO223" s="233">
        <f t="shared" si="148"/>
        <v>5</v>
      </c>
      <c r="AP223" s="233">
        <f t="shared" si="148"/>
        <v>5</v>
      </c>
      <c r="AQ223" s="233">
        <f t="shared" ref="AO223:AX224" si="149">MATCH(AQ$227,$D$223:$I$223,$C223)</f>
        <v>5</v>
      </c>
      <c r="AR223" s="233">
        <f t="shared" si="149"/>
        <v>5</v>
      </c>
      <c r="AS223" s="233">
        <f t="shared" si="149"/>
        <v>5</v>
      </c>
      <c r="AT223" s="233">
        <f t="shared" si="149"/>
        <v>5</v>
      </c>
      <c r="AU223" s="233">
        <f t="shared" si="149"/>
        <v>5</v>
      </c>
      <c r="AV223" s="233">
        <f t="shared" si="149"/>
        <v>6</v>
      </c>
      <c r="AW223" s="233">
        <f t="shared" si="149"/>
        <v>6</v>
      </c>
      <c r="AX223" s="233">
        <f t="shared" si="149"/>
        <v>6</v>
      </c>
    </row>
    <row r="224" spans="1:60">
      <c r="A224" s="41" t="s">
        <v>17</v>
      </c>
      <c r="B224" s="227" t="s">
        <v>405</v>
      </c>
      <c r="C224" s="227">
        <v>0</v>
      </c>
      <c r="D224" s="227">
        <f t="shared" ref="D224:I224" si="150">INDEX($D223:$I223,0,COUNT($D223:$I223)-D225)</f>
        <v>2050</v>
      </c>
      <c r="E224" s="227">
        <f t="shared" si="150"/>
        <v>2040</v>
      </c>
      <c r="F224" s="227">
        <f t="shared" si="150"/>
        <v>2030</v>
      </c>
      <c r="G224" s="227">
        <f t="shared" si="150"/>
        <v>2020</v>
      </c>
      <c r="H224" s="227">
        <f t="shared" si="150"/>
        <v>2015</v>
      </c>
      <c r="I224" s="144">
        <f t="shared" si="150"/>
        <v>2006</v>
      </c>
      <c r="J224" s="41">
        <f>MATCH(J$209,$D$210:$I$210,$C224)</f>
        <v>1</v>
      </c>
      <c r="K224" s="227" t="e">
        <f t="shared" si="147"/>
        <v>#N/A</v>
      </c>
      <c r="L224" s="227" t="e">
        <f t="shared" si="147"/>
        <v>#N/A</v>
      </c>
      <c r="M224" s="227">
        <f t="shared" si="147"/>
        <v>2</v>
      </c>
      <c r="N224" s="227" t="e">
        <f t="shared" si="147"/>
        <v>#N/A</v>
      </c>
      <c r="O224" s="227" t="e">
        <f t="shared" si="147"/>
        <v>#N/A</v>
      </c>
      <c r="P224" s="227" t="e">
        <f t="shared" si="147"/>
        <v>#N/A</v>
      </c>
      <c r="Q224" s="227" t="e">
        <f t="shared" si="147"/>
        <v>#N/A</v>
      </c>
      <c r="R224" s="227">
        <f t="shared" si="147"/>
        <v>3</v>
      </c>
      <c r="S224" s="227" t="e">
        <f t="shared" si="147"/>
        <v>#N/A</v>
      </c>
      <c r="T224" s="227" t="e">
        <f t="shared" si="147"/>
        <v>#N/A</v>
      </c>
      <c r="U224" s="227" t="e">
        <f t="shared" si="147"/>
        <v>#N/A</v>
      </c>
      <c r="V224" s="227" t="e">
        <f t="shared" si="147"/>
        <v>#N/A</v>
      </c>
      <c r="W224" s="227" t="e">
        <f t="shared" si="147"/>
        <v>#N/A</v>
      </c>
      <c r="X224" s="227" t="e">
        <f t="shared" si="147"/>
        <v>#N/A</v>
      </c>
      <c r="Y224" s="227" t="e">
        <f t="shared" si="147"/>
        <v>#N/A</v>
      </c>
      <c r="Z224" s="227" t="e">
        <f t="shared" si="147"/>
        <v>#N/A</v>
      </c>
      <c r="AA224" s="227" t="e">
        <f t="shared" si="148"/>
        <v>#N/A</v>
      </c>
      <c r="AB224" s="227">
        <f t="shared" si="148"/>
        <v>4</v>
      </c>
      <c r="AC224" s="227" t="e">
        <f t="shared" si="148"/>
        <v>#N/A</v>
      </c>
      <c r="AD224" s="227" t="e">
        <f t="shared" si="148"/>
        <v>#N/A</v>
      </c>
      <c r="AE224" s="227" t="e">
        <f t="shared" si="148"/>
        <v>#N/A</v>
      </c>
      <c r="AF224" s="227" t="e">
        <f t="shared" si="148"/>
        <v>#N/A</v>
      </c>
      <c r="AG224" s="227" t="e">
        <f t="shared" si="148"/>
        <v>#N/A</v>
      </c>
      <c r="AH224" s="227" t="e">
        <f t="shared" si="148"/>
        <v>#N/A</v>
      </c>
      <c r="AI224" s="227" t="e">
        <f t="shared" si="148"/>
        <v>#N/A</v>
      </c>
      <c r="AJ224" s="227" t="e">
        <f t="shared" si="148"/>
        <v>#N/A</v>
      </c>
      <c r="AK224" s="227" t="e">
        <f t="shared" si="148"/>
        <v>#N/A</v>
      </c>
      <c r="AL224" s="227">
        <f t="shared" si="148"/>
        <v>5</v>
      </c>
      <c r="AM224" s="227" t="e">
        <f t="shared" si="148"/>
        <v>#N/A</v>
      </c>
      <c r="AN224" s="227" t="e">
        <f t="shared" si="148"/>
        <v>#N/A</v>
      </c>
      <c r="AO224" s="227" t="e">
        <f t="shared" si="149"/>
        <v>#N/A</v>
      </c>
      <c r="AP224" s="227" t="e">
        <f t="shared" si="149"/>
        <v>#N/A</v>
      </c>
      <c r="AQ224" s="227" t="e">
        <f t="shared" si="149"/>
        <v>#N/A</v>
      </c>
      <c r="AR224" s="227" t="e">
        <f t="shared" si="149"/>
        <v>#N/A</v>
      </c>
      <c r="AS224" s="227" t="e">
        <f t="shared" si="149"/>
        <v>#N/A</v>
      </c>
      <c r="AT224" s="227" t="e">
        <f t="shared" si="149"/>
        <v>#N/A</v>
      </c>
      <c r="AU224" s="227" t="e">
        <f t="shared" si="149"/>
        <v>#N/A</v>
      </c>
      <c r="AV224" s="227">
        <f t="shared" si="149"/>
        <v>6</v>
      </c>
      <c r="AW224" s="227" t="e">
        <f t="shared" si="149"/>
        <v>#N/A</v>
      </c>
      <c r="AX224" s="227" t="e">
        <f t="shared" si="149"/>
        <v>#N/A</v>
      </c>
    </row>
    <row r="225" spans="1:57">
      <c r="A225" s="41" t="s">
        <v>17</v>
      </c>
      <c r="B225" s="227" t="s">
        <v>403</v>
      </c>
      <c r="C225" s="227">
        <v>-1</v>
      </c>
      <c r="D225" s="227">
        <v>0</v>
      </c>
      <c r="E225" s="227">
        <v>1</v>
      </c>
      <c r="F225" s="227">
        <v>2</v>
      </c>
      <c r="G225" s="227">
        <v>3</v>
      </c>
      <c r="H225" s="227">
        <v>4</v>
      </c>
      <c r="I225" s="227">
        <v>5</v>
      </c>
      <c r="J225" s="227">
        <f>MATCH(J$209,$D$211:$I$211,$C225)</f>
        <v>6</v>
      </c>
      <c r="K225" s="227">
        <f t="shared" ref="K225:AX225" si="151">MATCH(K$227,$D$224:$I$224,$C225)</f>
        <v>5</v>
      </c>
      <c r="L225" s="227">
        <f t="shared" si="151"/>
        <v>5</v>
      </c>
      <c r="M225" s="227">
        <f t="shared" si="151"/>
        <v>5</v>
      </c>
      <c r="N225" s="227">
        <f t="shared" si="151"/>
        <v>4</v>
      </c>
      <c r="O225" s="227">
        <f t="shared" si="151"/>
        <v>4</v>
      </c>
      <c r="P225" s="227">
        <f t="shared" si="151"/>
        <v>4</v>
      </c>
      <c r="Q225" s="227">
        <f t="shared" si="151"/>
        <v>4</v>
      </c>
      <c r="R225" s="227">
        <f t="shared" si="151"/>
        <v>4</v>
      </c>
      <c r="S225" s="227">
        <f t="shared" si="151"/>
        <v>3</v>
      </c>
      <c r="T225" s="227">
        <f t="shared" si="151"/>
        <v>3</v>
      </c>
      <c r="U225" s="227">
        <f t="shared" si="151"/>
        <v>3</v>
      </c>
      <c r="V225" s="227">
        <f t="shared" si="151"/>
        <v>3</v>
      </c>
      <c r="W225" s="227">
        <f t="shared" si="151"/>
        <v>3</v>
      </c>
      <c r="X225" s="227">
        <f t="shared" si="151"/>
        <v>3</v>
      </c>
      <c r="Y225" s="227">
        <f t="shared" si="151"/>
        <v>3</v>
      </c>
      <c r="Z225" s="227">
        <f t="shared" si="151"/>
        <v>3</v>
      </c>
      <c r="AA225" s="227">
        <f t="shared" si="151"/>
        <v>3</v>
      </c>
      <c r="AB225" s="227">
        <f t="shared" si="151"/>
        <v>3</v>
      </c>
      <c r="AC225" s="227">
        <f t="shared" si="151"/>
        <v>2</v>
      </c>
      <c r="AD225" s="227">
        <f t="shared" si="151"/>
        <v>2</v>
      </c>
      <c r="AE225" s="227">
        <f t="shared" si="151"/>
        <v>2</v>
      </c>
      <c r="AF225" s="227">
        <f t="shared" si="151"/>
        <v>2</v>
      </c>
      <c r="AG225" s="227">
        <f t="shared" si="151"/>
        <v>2</v>
      </c>
      <c r="AH225" s="227">
        <f t="shared" si="151"/>
        <v>2</v>
      </c>
      <c r="AI225" s="227">
        <f t="shared" si="151"/>
        <v>2</v>
      </c>
      <c r="AJ225" s="227">
        <f t="shared" si="151"/>
        <v>2</v>
      </c>
      <c r="AK225" s="227">
        <f t="shared" si="151"/>
        <v>2</v>
      </c>
      <c r="AL225" s="227">
        <f t="shared" si="151"/>
        <v>2</v>
      </c>
      <c r="AM225" s="227">
        <f t="shared" si="151"/>
        <v>1</v>
      </c>
      <c r="AN225" s="227">
        <f t="shared" si="151"/>
        <v>1</v>
      </c>
      <c r="AO225" s="227">
        <f t="shared" si="151"/>
        <v>1</v>
      </c>
      <c r="AP225" s="227">
        <f t="shared" si="151"/>
        <v>1</v>
      </c>
      <c r="AQ225" s="227">
        <f t="shared" si="151"/>
        <v>1</v>
      </c>
      <c r="AR225" s="227">
        <f t="shared" si="151"/>
        <v>1</v>
      </c>
      <c r="AS225" s="227">
        <f t="shared" si="151"/>
        <v>1</v>
      </c>
      <c r="AT225" s="227">
        <f t="shared" si="151"/>
        <v>1</v>
      </c>
      <c r="AU225" s="227">
        <f t="shared" si="151"/>
        <v>1</v>
      </c>
      <c r="AV225" s="227">
        <f t="shared" si="151"/>
        <v>1</v>
      </c>
      <c r="AW225" s="227" t="e">
        <f t="shared" si="151"/>
        <v>#N/A</v>
      </c>
      <c r="AX225" s="227" t="e">
        <f t="shared" si="151"/>
        <v>#N/A</v>
      </c>
    </row>
    <row r="226" spans="1:57" s="140" customFormat="1">
      <c r="A226" s="139" t="s">
        <v>17</v>
      </c>
      <c r="B226" s="140" t="s">
        <v>406</v>
      </c>
      <c r="J226" s="231">
        <f>IF(ISNA(J223),-1,IF(ISNA(J225),99,IF(ISNA(J224),J223,0)))</f>
        <v>0</v>
      </c>
      <c r="K226" s="231">
        <f>IF(ISNA(K223),-1,IF(ISNA(K225),99,IF(ISNA(K224),K223,0)))</f>
        <v>1</v>
      </c>
      <c r="L226" s="231">
        <f t="shared" ref="L226:AX226" si="152">IF(ISNA(L223),-1,IF(ISNA(L225),99,IF(ISNA(L224),L223,0)))</f>
        <v>1</v>
      </c>
      <c r="M226" s="231">
        <f t="shared" si="152"/>
        <v>0</v>
      </c>
      <c r="N226" s="231">
        <f t="shared" si="152"/>
        <v>2</v>
      </c>
      <c r="O226" s="231">
        <f t="shared" si="152"/>
        <v>2</v>
      </c>
      <c r="P226" s="231">
        <f t="shared" si="152"/>
        <v>2</v>
      </c>
      <c r="Q226" s="231">
        <f t="shared" si="152"/>
        <v>2</v>
      </c>
      <c r="R226" s="231">
        <f t="shared" si="152"/>
        <v>0</v>
      </c>
      <c r="S226" s="231">
        <f t="shared" si="152"/>
        <v>3</v>
      </c>
      <c r="T226" s="231">
        <f t="shared" si="152"/>
        <v>3</v>
      </c>
      <c r="U226" s="231">
        <f t="shared" si="152"/>
        <v>3</v>
      </c>
      <c r="V226" s="231">
        <f t="shared" si="152"/>
        <v>3</v>
      </c>
      <c r="W226" s="231">
        <f t="shared" si="152"/>
        <v>3</v>
      </c>
      <c r="X226" s="231">
        <f t="shared" si="152"/>
        <v>3</v>
      </c>
      <c r="Y226" s="231">
        <f t="shared" si="152"/>
        <v>3</v>
      </c>
      <c r="Z226" s="231">
        <f t="shared" si="152"/>
        <v>3</v>
      </c>
      <c r="AA226" s="231">
        <f t="shared" si="152"/>
        <v>3</v>
      </c>
      <c r="AB226" s="231">
        <f t="shared" si="152"/>
        <v>0</v>
      </c>
      <c r="AC226" s="231">
        <f t="shared" si="152"/>
        <v>4</v>
      </c>
      <c r="AD226" s="231">
        <f t="shared" si="152"/>
        <v>4</v>
      </c>
      <c r="AE226" s="231">
        <f t="shared" si="152"/>
        <v>4</v>
      </c>
      <c r="AF226" s="231">
        <f t="shared" si="152"/>
        <v>4</v>
      </c>
      <c r="AG226" s="231">
        <f t="shared" si="152"/>
        <v>4</v>
      </c>
      <c r="AH226" s="231">
        <f t="shared" si="152"/>
        <v>4</v>
      </c>
      <c r="AI226" s="231">
        <f t="shared" si="152"/>
        <v>4</v>
      </c>
      <c r="AJ226" s="231">
        <f t="shared" si="152"/>
        <v>4</v>
      </c>
      <c r="AK226" s="231">
        <f t="shared" si="152"/>
        <v>4</v>
      </c>
      <c r="AL226" s="231">
        <f t="shared" si="152"/>
        <v>0</v>
      </c>
      <c r="AM226" s="231">
        <f t="shared" si="152"/>
        <v>5</v>
      </c>
      <c r="AN226" s="231">
        <f t="shared" si="152"/>
        <v>5</v>
      </c>
      <c r="AO226" s="231">
        <f t="shared" si="152"/>
        <v>5</v>
      </c>
      <c r="AP226" s="231">
        <f t="shared" si="152"/>
        <v>5</v>
      </c>
      <c r="AQ226" s="231">
        <f t="shared" si="152"/>
        <v>5</v>
      </c>
      <c r="AR226" s="231">
        <f t="shared" si="152"/>
        <v>5</v>
      </c>
      <c r="AS226" s="231">
        <f t="shared" si="152"/>
        <v>5</v>
      </c>
      <c r="AT226" s="231">
        <f t="shared" si="152"/>
        <v>5</v>
      </c>
      <c r="AU226" s="231">
        <f t="shared" si="152"/>
        <v>5</v>
      </c>
      <c r="AV226" s="231">
        <f t="shared" si="152"/>
        <v>0</v>
      </c>
      <c r="AW226" s="231">
        <f t="shared" si="152"/>
        <v>99</v>
      </c>
      <c r="AX226" s="231">
        <f t="shared" si="152"/>
        <v>99</v>
      </c>
      <c r="AZ226" s="231"/>
      <c r="BA226" s="231"/>
      <c r="BB226" s="231"/>
      <c r="BC226" s="231"/>
      <c r="BD226" s="231"/>
      <c r="BE226" s="231"/>
    </row>
    <row r="227" spans="1:57">
      <c r="A227" s="227" t="s">
        <v>17</v>
      </c>
      <c r="C227" s="16"/>
      <c r="D227" s="16"/>
      <c r="E227" s="16"/>
      <c r="F227" s="16"/>
      <c r="G227" s="16"/>
      <c r="H227" s="16" t="s">
        <v>454</v>
      </c>
      <c r="I227" s="16"/>
      <c r="J227" s="18">
        <v>2012</v>
      </c>
      <c r="K227" s="18">
        <f>1+J227</f>
        <v>2013</v>
      </c>
      <c r="L227" s="18">
        <f t="shared" ref="L227:AV227" si="153">1+K227</f>
        <v>2014</v>
      </c>
      <c r="M227" s="18">
        <f>1+L227</f>
        <v>2015</v>
      </c>
      <c r="N227" s="18">
        <f t="shared" si="153"/>
        <v>2016</v>
      </c>
      <c r="O227" s="18">
        <f t="shared" si="153"/>
        <v>2017</v>
      </c>
      <c r="P227" s="18">
        <f t="shared" si="153"/>
        <v>2018</v>
      </c>
      <c r="Q227" s="18">
        <f t="shared" si="153"/>
        <v>2019</v>
      </c>
      <c r="R227" s="18">
        <f t="shared" si="153"/>
        <v>2020</v>
      </c>
      <c r="S227" s="18">
        <f t="shared" si="153"/>
        <v>2021</v>
      </c>
      <c r="T227" s="18">
        <f t="shared" si="153"/>
        <v>2022</v>
      </c>
      <c r="U227" s="18">
        <f t="shared" si="153"/>
        <v>2023</v>
      </c>
      <c r="V227" s="18">
        <f t="shared" si="153"/>
        <v>2024</v>
      </c>
      <c r="W227" s="18">
        <f t="shared" si="153"/>
        <v>2025</v>
      </c>
      <c r="X227" s="18">
        <f t="shared" si="153"/>
        <v>2026</v>
      </c>
      <c r="Y227" s="18">
        <f t="shared" si="153"/>
        <v>2027</v>
      </c>
      <c r="Z227" s="18">
        <f t="shared" si="153"/>
        <v>2028</v>
      </c>
      <c r="AA227" s="18">
        <f t="shared" si="153"/>
        <v>2029</v>
      </c>
      <c r="AB227" s="18">
        <f t="shared" si="153"/>
        <v>2030</v>
      </c>
      <c r="AC227" s="18">
        <f t="shared" si="153"/>
        <v>2031</v>
      </c>
      <c r="AD227" s="18">
        <f t="shared" si="153"/>
        <v>2032</v>
      </c>
      <c r="AE227" s="18">
        <f t="shared" si="153"/>
        <v>2033</v>
      </c>
      <c r="AF227" s="18">
        <f t="shared" si="153"/>
        <v>2034</v>
      </c>
      <c r="AG227" s="18">
        <f t="shared" si="153"/>
        <v>2035</v>
      </c>
      <c r="AH227" s="18">
        <f t="shared" si="153"/>
        <v>2036</v>
      </c>
      <c r="AI227" s="18">
        <f t="shared" si="153"/>
        <v>2037</v>
      </c>
      <c r="AJ227" s="18">
        <f t="shared" si="153"/>
        <v>2038</v>
      </c>
      <c r="AK227" s="18">
        <f t="shared" si="153"/>
        <v>2039</v>
      </c>
      <c r="AL227" s="18">
        <f t="shared" si="153"/>
        <v>2040</v>
      </c>
      <c r="AM227" s="18">
        <f t="shared" si="153"/>
        <v>2041</v>
      </c>
      <c r="AN227" s="18">
        <f t="shared" si="153"/>
        <v>2042</v>
      </c>
      <c r="AO227" s="18">
        <f t="shared" si="153"/>
        <v>2043</v>
      </c>
      <c r="AP227" s="18">
        <f t="shared" si="153"/>
        <v>2044</v>
      </c>
      <c r="AQ227" s="18">
        <f t="shared" si="153"/>
        <v>2045</v>
      </c>
      <c r="AR227" s="18">
        <f t="shared" si="153"/>
        <v>2046</v>
      </c>
      <c r="AS227" s="18">
        <f t="shared" si="153"/>
        <v>2047</v>
      </c>
      <c r="AT227" s="18">
        <f t="shared" si="153"/>
        <v>2048</v>
      </c>
      <c r="AU227" s="18">
        <f t="shared" si="153"/>
        <v>2049</v>
      </c>
      <c r="AV227" s="18">
        <f t="shared" si="153"/>
        <v>2050</v>
      </c>
      <c r="AW227" s="18">
        <v>2060</v>
      </c>
      <c r="AX227" s="18">
        <v>2070</v>
      </c>
      <c r="AZ227" s="18"/>
      <c r="BA227" s="18"/>
      <c r="BB227" s="18"/>
      <c r="BC227" s="18"/>
      <c r="BD227" s="18"/>
      <c r="BE227" s="18"/>
    </row>
    <row r="228" spans="1:57">
      <c r="A228" s="227" t="s">
        <v>17</v>
      </c>
      <c r="B228" s="22" t="str">
        <f t="shared" ref="B228:B233" si="154">IF(A228="*","","COM_PROJ")</f>
        <v/>
      </c>
      <c r="C228" s="23" t="str">
        <f t="shared" ref="C228:C233" si="155">IF($A228="*","","-")</f>
        <v/>
      </c>
      <c r="E228" s="23" t="str">
        <f t="shared" ref="E228:H233" si="156">IF($A228="*","","-")</f>
        <v/>
      </c>
      <c r="F228" s="23" t="str">
        <f t="shared" si="156"/>
        <v/>
      </c>
      <c r="G228" s="23" t="str">
        <f t="shared" si="156"/>
        <v/>
      </c>
      <c r="H228" s="23" t="str">
        <f t="shared" si="156"/>
        <v/>
      </c>
      <c r="I228" s="61" t="str">
        <f t="shared" ref="I228:I235" si="157">B161</f>
        <v>TPPRCAR</v>
      </c>
      <c r="J228" s="228">
        <f t="shared" ref="J228:J235" si="158">E161</f>
        <v>131.94803455429781</v>
      </c>
      <c r="K228" s="228">
        <f t="shared" ref="K228:AW234" si="159">IF(K$226=-1,L228,IF(K$226=99,J228,IF(K$226=0,INDEX($E161:$K161,0,K$224),(INDEX($E161:$K161,0,K$226+1)-INDEX($E161:$K161,0,K$226))/(INDEX($E$160:$K$160,0,K$226+1)-INDEX($E$160:$K$160,0,K$226))+J228)))</f>
        <v>125.17527612254204</v>
      </c>
      <c r="L228" s="228">
        <f t="shared" si="159"/>
        <v>118.40251769078628</v>
      </c>
      <c r="M228" s="228">
        <f t="shared" si="159"/>
        <v>111.62975925903054</v>
      </c>
      <c r="N228" s="228">
        <f t="shared" si="159"/>
        <v>121.47758464554335</v>
      </c>
      <c r="O228" s="228">
        <f t="shared" si="159"/>
        <v>131.32541003205617</v>
      </c>
      <c r="P228" s="228">
        <f t="shared" si="159"/>
        <v>141.17323541856899</v>
      </c>
      <c r="Q228" s="228">
        <f t="shared" si="159"/>
        <v>151.02106080508182</v>
      </c>
      <c r="R228" s="228">
        <f t="shared" si="159"/>
        <v>131.32541003205617</v>
      </c>
      <c r="S228" s="228">
        <f t="shared" si="159"/>
        <v>131.32541003205617</v>
      </c>
      <c r="T228" s="228">
        <f t="shared" si="159"/>
        <v>131.32541003205617</v>
      </c>
      <c r="U228" s="228">
        <f t="shared" si="159"/>
        <v>131.32541003205617</v>
      </c>
      <c r="V228" s="228">
        <f t="shared" si="159"/>
        <v>131.32541003205617</v>
      </c>
      <c r="W228" s="228">
        <f t="shared" si="159"/>
        <v>131.32541003205617</v>
      </c>
      <c r="X228" s="228">
        <f t="shared" si="159"/>
        <v>131.32541003205617</v>
      </c>
      <c r="Y228" s="228">
        <f t="shared" si="159"/>
        <v>131.32541003205617</v>
      </c>
      <c r="Z228" s="228">
        <f t="shared" si="159"/>
        <v>131.32541003205617</v>
      </c>
      <c r="AA228" s="228">
        <f t="shared" si="159"/>
        <v>131.32541003205617</v>
      </c>
      <c r="AB228" s="228">
        <f t="shared" si="159"/>
        <v>131.32541003205617</v>
      </c>
      <c r="AC228" s="228">
        <f t="shared" si="159"/>
        <v>133.94648581182699</v>
      </c>
      <c r="AD228" s="228">
        <f t="shared" si="159"/>
        <v>136.56756159159781</v>
      </c>
      <c r="AE228" s="228">
        <f t="shared" si="159"/>
        <v>139.18863737136863</v>
      </c>
      <c r="AF228" s="228">
        <f t="shared" si="159"/>
        <v>141.80971315113945</v>
      </c>
      <c r="AG228" s="228">
        <f t="shared" si="159"/>
        <v>144.43078893091027</v>
      </c>
      <c r="AH228" s="228">
        <f t="shared" si="159"/>
        <v>147.05186471068109</v>
      </c>
      <c r="AI228" s="228">
        <f t="shared" si="159"/>
        <v>149.67294049045191</v>
      </c>
      <c r="AJ228" s="228">
        <f t="shared" si="159"/>
        <v>152.29401627022273</v>
      </c>
      <c r="AK228" s="228">
        <f t="shared" si="159"/>
        <v>154.91509204999355</v>
      </c>
      <c r="AL228" s="228">
        <f t="shared" si="159"/>
        <v>157.53616782976434</v>
      </c>
      <c r="AM228" s="228">
        <f t="shared" si="159"/>
        <v>160.44484754362145</v>
      </c>
      <c r="AN228" s="228">
        <f t="shared" si="159"/>
        <v>163.35352725747856</v>
      </c>
      <c r="AO228" s="228">
        <f t="shared" si="159"/>
        <v>166.26220697133567</v>
      </c>
      <c r="AP228" s="228">
        <f t="shared" si="159"/>
        <v>169.17088668519278</v>
      </c>
      <c r="AQ228" s="228">
        <f t="shared" si="159"/>
        <v>172.0795663990499</v>
      </c>
      <c r="AR228" s="228">
        <f t="shared" si="159"/>
        <v>174.98824611290701</v>
      </c>
      <c r="AS228" s="228">
        <f t="shared" si="159"/>
        <v>177.89692582676412</v>
      </c>
      <c r="AT228" s="228">
        <f t="shared" si="159"/>
        <v>180.80560554062123</v>
      </c>
      <c r="AU228" s="228">
        <f t="shared" si="159"/>
        <v>183.71428525447834</v>
      </c>
      <c r="AV228" s="228">
        <f t="shared" si="159"/>
        <v>186.62296496833531</v>
      </c>
      <c r="AW228" s="228">
        <f t="shared" si="159"/>
        <v>186.62296496833531</v>
      </c>
      <c r="AX228" s="228">
        <f t="shared" ref="AX228:AX235" si="160">IF(AX$226=-1,AZ228,IF(AX$226=99,AW228,IF(AX$226=0,INDEX($E161:$K161,0,AX$224),(INDEX($E161:$K161,0,AX$226+1)-INDEX($E161:$K161,0,AX$226))/(INDEX($E$160:$K$160,0,AX$226+1)-INDEX($E$160:$K$160,0,AX$226))+AW228)))</f>
        <v>186.62296496833531</v>
      </c>
      <c r="AZ228" s="228"/>
      <c r="BA228" s="228"/>
      <c r="BB228" s="228"/>
      <c r="BC228" s="228"/>
      <c r="BD228" s="228"/>
      <c r="BE228" s="228"/>
    </row>
    <row r="229" spans="1:57">
      <c r="A229" s="227" t="s">
        <v>17</v>
      </c>
      <c r="B229" s="22" t="str">
        <f t="shared" si="154"/>
        <v/>
      </c>
      <c r="C229" s="23" t="str">
        <f t="shared" si="155"/>
        <v/>
      </c>
      <c r="E229" s="23" t="str">
        <f t="shared" si="156"/>
        <v/>
      </c>
      <c r="F229" s="23" t="str">
        <f t="shared" si="156"/>
        <v/>
      </c>
      <c r="G229" s="23" t="str">
        <f t="shared" si="156"/>
        <v/>
      </c>
      <c r="H229" s="23" t="str">
        <f t="shared" si="156"/>
        <v/>
      </c>
      <c r="I229" s="61" t="str">
        <f t="shared" si="157"/>
        <v>TPPRSUV</v>
      </c>
      <c r="J229" s="228">
        <f t="shared" si="158"/>
        <v>15.150467529252889</v>
      </c>
      <c r="K229" s="228">
        <f t="shared" si="159"/>
        <v>14.372809437941465</v>
      </c>
      <c r="L229" s="228">
        <f t="shared" si="159"/>
        <v>13.59515134663004</v>
      </c>
      <c r="M229" s="228">
        <f t="shared" si="159"/>
        <v>12.817493255318613</v>
      </c>
      <c r="N229" s="228">
        <f t="shared" si="159"/>
        <v>13.948235060273031</v>
      </c>
      <c r="O229" s="228">
        <f t="shared" si="159"/>
        <v>15.07897686522745</v>
      </c>
      <c r="P229" s="228">
        <f t="shared" si="159"/>
        <v>16.209718670181868</v>
      </c>
      <c r="Q229" s="228">
        <f t="shared" si="159"/>
        <v>17.340460475136286</v>
      </c>
      <c r="R229" s="228">
        <f t="shared" si="159"/>
        <v>15.078976865227451</v>
      </c>
      <c r="S229" s="228">
        <f t="shared" si="159"/>
        <v>15.078976865227451</v>
      </c>
      <c r="T229" s="228">
        <f t="shared" si="159"/>
        <v>15.078976865227451</v>
      </c>
      <c r="U229" s="228">
        <f t="shared" si="159"/>
        <v>15.078976865227451</v>
      </c>
      <c r="V229" s="228">
        <f t="shared" si="159"/>
        <v>15.078976865227451</v>
      </c>
      <c r="W229" s="228">
        <f t="shared" si="159"/>
        <v>15.078976865227451</v>
      </c>
      <c r="X229" s="228">
        <f t="shared" si="159"/>
        <v>15.078976865227451</v>
      </c>
      <c r="Y229" s="228">
        <f t="shared" si="159"/>
        <v>15.078976865227451</v>
      </c>
      <c r="Z229" s="228">
        <f t="shared" si="159"/>
        <v>15.078976865227451</v>
      </c>
      <c r="AA229" s="228">
        <f t="shared" si="159"/>
        <v>15.078976865227451</v>
      </c>
      <c r="AB229" s="228">
        <f t="shared" si="159"/>
        <v>15.078976865227451</v>
      </c>
      <c r="AC229" s="228">
        <f t="shared" si="159"/>
        <v>15.379932643972209</v>
      </c>
      <c r="AD229" s="228">
        <f t="shared" si="159"/>
        <v>15.680888422716967</v>
      </c>
      <c r="AE229" s="228">
        <f t="shared" si="159"/>
        <v>15.981844201461724</v>
      </c>
      <c r="AF229" s="228">
        <f t="shared" si="159"/>
        <v>16.282799980206484</v>
      </c>
      <c r="AG229" s="228">
        <f t="shared" si="159"/>
        <v>16.583755758951241</v>
      </c>
      <c r="AH229" s="228">
        <f t="shared" si="159"/>
        <v>16.884711537695999</v>
      </c>
      <c r="AI229" s="228">
        <f t="shared" si="159"/>
        <v>17.185667316440757</v>
      </c>
      <c r="AJ229" s="228">
        <f t="shared" si="159"/>
        <v>17.486623095185514</v>
      </c>
      <c r="AK229" s="228">
        <f t="shared" si="159"/>
        <v>17.787578873930272</v>
      </c>
      <c r="AL229" s="228">
        <f t="shared" si="159"/>
        <v>18.088534652675033</v>
      </c>
      <c r="AM229" s="228">
        <f t="shared" si="159"/>
        <v>18.42251353842838</v>
      </c>
      <c r="AN229" s="228">
        <f t="shared" si="159"/>
        <v>18.756492424181726</v>
      </c>
      <c r="AO229" s="228">
        <f t="shared" si="159"/>
        <v>19.090471309935072</v>
      </c>
      <c r="AP229" s="228">
        <f t="shared" si="159"/>
        <v>19.424450195688419</v>
      </c>
      <c r="AQ229" s="228">
        <f t="shared" si="159"/>
        <v>19.758429081441765</v>
      </c>
      <c r="AR229" s="228">
        <f t="shared" si="159"/>
        <v>20.092407967195111</v>
      </c>
      <c r="AS229" s="228">
        <f t="shared" si="159"/>
        <v>20.426386852948458</v>
      </c>
      <c r="AT229" s="228">
        <f t="shared" si="159"/>
        <v>20.760365738701804</v>
      </c>
      <c r="AU229" s="228">
        <f t="shared" si="159"/>
        <v>21.09434462445515</v>
      </c>
      <c r="AV229" s="228">
        <f t="shared" si="159"/>
        <v>21.428323510208507</v>
      </c>
      <c r="AW229" s="228">
        <f t="shared" si="159"/>
        <v>21.428323510208507</v>
      </c>
      <c r="AX229" s="228">
        <f t="shared" si="160"/>
        <v>21.428323510208507</v>
      </c>
      <c r="AZ229" s="228"/>
      <c r="BA229" s="228"/>
      <c r="BB229" s="228"/>
      <c r="BC229" s="228"/>
      <c r="BD229" s="228"/>
      <c r="BE229" s="228"/>
    </row>
    <row r="230" spans="1:57">
      <c r="A230" s="227" t="s">
        <v>17</v>
      </c>
      <c r="B230" s="22" t="str">
        <f t="shared" si="154"/>
        <v/>
      </c>
      <c r="C230" s="23" t="str">
        <f t="shared" si="155"/>
        <v/>
      </c>
      <c r="E230" s="23" t="str">
        <f t="shared" si="156"/>
        <v/>
      </c>
      <c r="F230" s="23" t="str">
        <f t="shared" si="156"/>
        <v/>
      </c>
      <c r="G230" s="23" t="str">
        <f t="shared" si="156"/>
        <v/>
      </c>
      <c r="H230" s="23" t="str">
        <f t="shared" si="156"/>
        <v/>
      </c>
      <c r="I230" s="61" t="str">
        <f t="shared" si="157"/>
        <v>TPPRMOT</v>
      </c>
      <c r="J230" s="228">
        <f t="shared" si="158"/>
        <v>5.1645629298952738</v>
      </c>
      <c r="K230" s="228">
        <f t="shared" si="159"/>
        <v>4.8994711667027913</v>
      </c>
      <c r="L230" s="228">
        <f t="shared" si="159"/>
        <v>4.6343794035103087</v>
      </c>
      <c r="M230" s="228">
        <f t="shared" si="159"/>
        <v>4.3692876403178262</v>
      </c>
      <c r="N230" s="228">
        <f t="shared" si="159"/>
        <v>4.7547402474980913</v>
      </c>
      <c r="O230" s="228">
        <f t="shared" si="159"/>
        <v>5.1401928546783555</v>
      </c>
      <c r="P230" s="228">
        <f t="shared" si="159"/>
        <v>5.5256454618586197</v>
      </c>
      <c r="Q230" s="228">
        <f t="shared" si="159"/>
        <v>5.9110980690388839</v>
      </c>
      <c r="R230" s="228">
        <f t="shared" si="159"/>
        <v>5.1401928546783555</v>
      </c>
      <c r="S230" s="228">
        <f t="shared" si="159"/>
        <v>5.1401928546783555</v>
      </c>
      <c r="T230" s="228">
        <f t="shared" si="159"/>
        <v>5.1401928546783555</v>
      </c>
      <c r="U230" s="228">
        <f t="shared" si="159"/>
        <v>5.1401928546783555</v>
      </c>
      <c r="V230" s="228">
        <f t="shared" si="159"/>
        <v>5.1401928546783555</v>
      </c>
      <c r="W230" s="228">
        <f t="shared" si="159"/>
        <v>5.1401928546783555</v>
      </c>
      <c r="X230" s="228">
        <f t="shared" si="159"/>
        <v>5.1401928546783555</v>
      </c>
      <c r="Y230" s="228">
        <f t="shared" si="159"/>
        <v>5.1401928546783555</v>
      </c>
      <c r="Z230" s="228">
        <f t="shared" si="159"/>
        <v>5.1401928546783555</v>
      </c>
      <c r="AA230" s="228">
        <f t="shared" si="159"/>
        <v>5.1401928546783555</v>
      </c>
      <c r="AB230" s="228">
        <f t="shared" si="159"/>
        <v>5.1401928546783555</v>
      </c>
      <c r="AC230" s="228">
        <f t="shared" si="159"/>
        <v>5.2427840820079314</v>
      </c>
      <c r="AD230" s="228">
        <f t="shared" si="159"/>
        <v>5.3453753093375074</v>
      </c>
      <c r="AE230" s="228">
        <f t="shared" si="159"/>
        <v>5.4479665366670833</v>
      </c>
      <c r="AF230" s="228">
        <f t="shared" si="159"/>
        <v>5.5505577639966592</v>
      </c>
      <c r="AG230" s="228">
        <f t="shared" si="159"/>
        <v>5.6531489913262352</v>
      </c>
      <c r="AH230" s="228">
        <f t="shared" si="159"/>
        <v>5.7557402186558111</v>
      </c>
      <c r="AI230" s="228">
        <f t="shared" si="159"/>
        <v>5.858331445985387</v>
      </c>
      <c r="AJ230" s="228">
        <f t="shared" si="159"/>
        <v>5.9609226733149629</v>
      </c>
      <c r="AK230" s="228">
        <f t="shared" si="159"/>
        <v>6.0635139006445389</v>
      </c>
      <c r="AL230" s="228">
        <f t="shared" si="159"/>
        <v>6.1661051279741148</v>
      </c>
      <c r="AM230" s="228">
        <f t="shared" si="159"/>
        <v>6.2799534279951583</v>
      </c>
      <c r="AN230" s="228">
        <f t="shared" si="159"/>
        <v>6.3938017280162018</v>
      </c>
      <c r="AO230" s="228">
        <f t="shared" si="159"/>
        <v>6.5076500280372453</v>
      </c>
      <c r="AP230" s="228">
        <f t="shared" si="159"/>
        <v>6.6214983280582889</v>
      </c>
      <c r="AQ230" s="228">
        <f t="shared" si="159"/>
        <v>6.7353466280793324</v>
      </c>
      <c r="AR230" s="228">
        <f t="shared" si="159"/>
        <v>6.8491949281003759</v>
      </c>
      <c r="AS230" s="228">
        <f t="shared" si="159"/>
        <v>6.9630432281214194</v>
      </c>
      <c r="AT230" s="228">
        <f t="shared" si="159"/>
        <v>7.0768915281424629</v>
      </c>
      <c r="AU230" s="228">
        <f t="shared" si="159"/>
        <v>7.1907398281635064</v>
      </c>
      <c r="AV230" s="228">
        <f t="shared" si="159"/>
        <v>7.3045881281845535</v>
      </c>
      <c r="AW230" s="228">
        <f t="shared" si="159"/>
        <v>7.3045881281845535</v>
      </c>
      <c r="AX230" s="228">
        <f t="shared" si="160"/>
        <v>7.3045881281845535</v>
      </c>
      <c r="AZ230" s="228"/>
      <c r="BA230" s="228"/>
      <c r="BB230" s="228"/>
      <c r="BC230" s="228"/>
      <c r="BD230" s="228"/>
      <c r="BE230" s="228"/>
    </row>
    <row r="231" spans="1:57">
      <c r="A231" s="227" t="s">
        <v>17</v>
      </c>
      <c r="B231" s="22" t="str">
        <f t="shared" si="154"/>
        <v/>
      </c>
      <c r="C231" s="23" t="str">
        <f t="shared" si="155"/>
        <v/>
      </c>
      <c r="E231" s="23" t="str">
        <f t="shared" si="156"/>
        <v/>
      </c>
      <c r="F231" s="23" t="str">
        <f t="shared" si="156"/>
        <v/>
      </c>
      <c r="G231" s="23" t="str">
        <f t="shared" si="156"/>
        <v/>
      </c>
      <c r="H231" s="23" t="str">
        <f t="shared" si="156"/>
        <v/>
      </c>
      <c r="I231" s="61" t="str">
        <f t="shared" si="157"/>
        <v>TPPUBUS</v>
      </c>
      <c r="J231" s="228">
        <f t="shared" si="158"/>
        <v>15.449787242939724</v>
      </c>
      <c r="K231" s="228">
        <f t="shared" si="159"/>
        <v>15.716524828626483</v>
      </c>
      <c r="L231" s="228">
        <f t="shared" si="159"/>
        <v>15.983262414313241</v>
      </c>
      <c r="M231" s="228">
        <f t="shared" si="159"/>
        <v>16.25</v>
      </c>
      <c r="N231" s="228">
        <f t="shared" si="159"/>
        <v>16.519303703621738</v>
      </c>
      <c r="O231" s="228">
        <f t="shared" si="159"/>
        <v>16.788607407243475</v>
      </c>
      <c r="P231" s="228">
        <f t="shared" si="159"/>
        <v>17.057911110865213</v>
      </c>
      <c r="Q231" s="228">
        <f t="shared" si="159"/>
        <v>17.32721481448695</v>
      </c>
      <c r="R231" s="228">
        <f t="shared" si="159"/>
        <v>16.788607407243475</v>
      </c>
      <c r="S231" s="228">
        <f t="shared" si="159"/>
        <v>16.978277328021687</v>
      </c>
      <c r="T231" s="228">
        <f t="shared" si="159"/>
        <v>17.167947248799898</v>
      </c>
      <c r="U231" s="228">
        <f t="shared" si="159"/>
        <v>17.357617169578109</v>
      </c>
      <c r="V231" s="228">
        <f t="shared" si="159"/>
        <v>17.547287090356321</v>
      </c>
      <c r="W231" s="228">
        <f t="shared" si="159"/>
        <v>17.736957011134532</v>
      </c>
      <c r="X231" s="228">
        <f t="shared" si="159"/>
        <v>17.926626931912743</v>
      </c>
      <c r="Y231" s="228">
        <f t="shared" si="159"/>
        <v>18.116296852690954</v>
      </c>
      <c r="Z231" s="228">
        <f t="shared" si="159"/>
        <v>18.305966773469166</v>
      </c>
      <c r="AA231" s="228">
        <f t="shared" si="159"/>
        <v>18.495636694247377</v>
      </c>
      <c r="AB231" s="228">
        <f t="shared" si="159"/>
        <v>17.357617169578113</v>
      </c>
      <c r="AC231" s="228">
        <f t="shared" si="159"/>
        <v>17.896913540050651</v>
      </c>
      <c r="AD231" s="228">
        <f t="shared" si="159"/>
        <v>18.436209910523189</v>
      </c>
      <c r="AE231" s="228">
        <f t="shared" si="159"/>
        <v>18.975506280995727</v>
      </c>
      <c r="AF231" s="228">
        <f t="shared" si="159"/>
        <v>19.514802651468266</v>
      </c>
      <c r="AG231" s="228">
        <f t="shared" si="159"/>
        <v>20.054099021940804</v>
      </c>
      <c r="AH231" s="228">
        <f t="shared" si="159"/>
        <v>20.593395392413342</v>
      </c>
      <c r="AI231" s="228">
        <f t="shared" si="159"/>
        <v>21.13269176288588</v>
      </c>
      <c r="AJ231" s="228">
        <f t="shared" si="159"/>
        <v>21.671988133358418</v>
      </c>
      <c r="AK231" s="228">
        <f t="shared" si="159"/>
        <v>22.211284503830957</v>
      </c>
      <c r="AL231" s="228">
        <f t="shared" si="159"/>
        <v>22.750580874303502</v>
      </c>
      <c r="AM231" s="228">
        <f t="shared" si="159"/>
        <v>22.477114220608112</v>
      </c>
      <c r="AN231" s="228">
        <f t="shared" si="159"/>
        <v>22.203647566912721</v>
      </c>
      <c r="AO231" s="228">
        <f t="shared" si="159"/>
        <v>21.930180913217331</v>
      </c>
      <c r="AP231" s="228">
        <f t="shared" si="159"/>
        <v>21.656714259521941</v>
      </c>
      <c r="AQ231" s="228">
        <f t="shared" si="159"/>
        <v>21.383247605826551</v>
      </c>
      <c r="AR231" s="228">
        <f t="shared" si="159"/>
        <v>21.10978095213116</v>
      </c>
      <c r="AS231" s="228">
        <f t="shared" si="159"/>
        <v>20.83631429843577</v>
      </c>
      <c r="AT231" s="228">
        <f t="shared" si="159"/>
        <v>20.56284764474038</v>
      </c>
      <c r="AU231" s="228">
        <f t="shared" si="159"/>
        <v>20.28938099104499</v>
      </c>
      <c r="AV231" s="228">
        <f t="shared" si="159"/>
        <v>20.015914337349606</v>
      </c>
      <c r="AW231" s="228">
        <f t="shared" si="159"/>
        <v>20.015914337349606</v>
      </c>
      <c r="AX231" s="228">
        <f t="shared" si="160"/>
        <v>20.015914337349606</v>
      </c>
      <c r="AZ231" s="228"/>
      <c r="BA231" s="228"/>
      <c r="BB231" s="228"/>
      <c r="BC231" s="228"/>
      <c r="BD231" s="228"/>
      <c r="BE231" s="228"/>
    </row>
    <row r="232" spans="1:57">
      <c r="A232" s="227" t="s">
        <v>17</v>
      </c>
      <c r="B232" s="22" t="str">
        <f t="shared" si="154"/>
        <v/>
      </c>
      <c r="C232" s="23" t="str">
        <f t="shared" si="155"/>
        <v/>
      </c>
      <c r="E232" s="23" t="str">
        <f t="shared" si="156"/>
        <v/>
      </c>
      <c r="F232" s="23" t="str">
        <f t="shared" si="156"/>
        <v/>
      </c>
      <c r="G232" s="23" t="str">
        <f t="shared" si="156"/>
        <v/>
      </c>
      <c r="H232" s="23" t="str">
        <f t="shared" si="156"/>
        <v/>
      </c>
      <c r="I232" s="61" t="str">
        <f t="shared" si="157"/>
        <v>TPPUMBT</v>
      </c>
      <c r="J232" s="228">
        <f t="shared" si="158"/>
        <v>94.864065513573934</v>
      </c>
      <c r="K232" s="228">
        <f t="shared" si="159"/>
        <v>95.442710342382625</v>
      </c>
      <c r="L232" s="228">
        <f t="shared" si="159"/>
        <v>96.021355171191317</v>
      </c>
      <c r="M232" s="228">
        <f t="shared" si="159"/>
        <v>96.600000000000009</v>
      </c>
      <c r="N232" s="228">
        <f t="shared" si="159"/>
        <v>98.297871000000015</v>
      </c>
      <c r="O232" s="228">
        <f t="shared" si="159"/>
        <v>99.995742000000007</v>
      </c>
      <c r="P232" s="228">
        <f t="shared" si="159"/>
        <v>101.693613</v>
      </c>
      <c r="Q232" s="228">
        <f t="shared" si="159"/>
        <v>103.39148399999999</v>
      </c>
      <c r="R232" s="228">
        <f t="shared" si="159"/>
        <v>99.995742000000007</v>
      </c>
      <c r="S232" s="228">
        <f t="shared" si="159"/>
        <v>100.73169879351565</v>
      </c>
      <c r="T232" s="228">
        <f t="shared" si="159"/>
        <v>101.46765558703129</v>
      </c>
      <c r="U232" s="228">
        <f t="shared" si="159"/>
        <v>102.20361238054693</v>
      </c>
      <c r="V232" s="228">
        <f t="shared" si="159"/>
        <v>102.93956917406257</v>
      </c>
      <c r="W232" s="228">
        <f t="shared" si="159"/>
        <v>103.67552596757821</v>
      </c>
      <c r="X232" s="228">
        <f t="shared" si="159"/>
        <v>104.41148276109385</v>
      </c>
      <c r="Y232" s="228">
        <f t="shared" si="159"/>
        <v>105.14743955460949</v>
      </c>
      <c r="Z232" s="228">
        <f t="shared" si="159"/>
        <v>105.88339634812513</v>
      </c>
      <c r="AA232" s="228">
        <f t="shared" si="159"/>
        <v>106.61935314164077</v>
      </c>
      <c r="AB232" s="228">
        <f t="shared" si="159"/>
        <v>102.20361238054691</v>
      </c>
      <c r="AC232" s="228">
        <f t="shared" si="159"/>
        <v>102.5216348524946</v>
      </c>
      <c r="AD232" s="228">
        <f t="shared" si="159"/>
        <v>102.83965732444229</v>
      </c>
      <c r="AE232" s="228">
        <f t="shared" si="159"/>
        <v>103.15767979638997</v>
      </c>
      <c r="AF232" s="228">
        <f t="shared" si="159"/>
        <v>103.47570226833766</v>
      </c>
      <c r="AG232" s="228">
        <f t="shared" si="159"/>
        <v>103.79372474028534</v>
      </c>
      <c r="AH232" s="228">
        <f t="shared" si="159"/>
        <v>104.11174721223303</v>
      </c>
      <c r="AI232" s="228">
        <f t="shared" si="159"/>
        <v>104.42976968418071</v>
      </c>
      <c r="AJ232" s="228">
        <f t="shared" si="159"/>
        <v>104.7477921561284</v>
      </c>
      <c r="AK232" s="228">
        <f t="shared" si="159"/>
        <v>105.06581462807608</v>
      </c>
      <c r="AL232" s="228">
        <f t="shared" si="159"/>
        <v>105.38383710002381</v>
      </c>
      <c r="AM232" s="228">
        <f t="shared" si="159"/>
        <v>105.43517403147825</v>
      </c>
      <c r="AN232" s="228">
        <f t="shared" si="159"/>
        <v>105.4865109629327</v>
      </c>
      <c r="AO232" s="228">
        <f t="shared" si="159"/>
        <v>105.53784789438714</v>
      </c>
      <c r="AP232" s="228">
        <f t="shared" si="159"/>
        <v>105.58918482584158</v>
      </c>
      <c r="AQ232" s="228">
        <f t="shared" si="159"/>
        <v>105.64052175729603</v>
      </c>
      <c r="AR232" s="228">
        <f t="shared" si="159"/>
        <v>105.69185868875047</v>
      </c>
      <c r="AS232" s="228">
        <f t="shared" si="159"/>
        <v>105.74319562020492</v>
      </c>
      <c r="AT232" s="228">
        <f t="shared" si="159"/>
        <v>105.79453255165936</v>
      </c>
      <c r="AU232" s="228">
        <f t="shared" si="159"/>
        <v>105.8458694831138</v>
      </c>
      <c r="AV232" s="228">
        <f t="shared" si="159"/>
        <v>105.89720641456819</v>
      </c>
      <c r="AW232" s="228">
        <f t="shared" si="159"/>
        <v>105.89720641456819</v>
      </c>
      <c r="AX232" s="228">
        <f t="shared" si="160"/>
        <v>105.89720641456819</v>
      </c>
      <c r="AZ232" s="228"/>
      <c r="BA232" s="228"/>
      <c r="BB232" s="228"/>
      <c r="BC232" s="228"/>
      <c r="BD232" s="228"/>
      <c r="BE232" s="228"/>
    </row>
    <row r="233" spans="1:57">
      <c r="A233" s="227" t="s">
        <v>17</v>
      </c>
      <c r="B233" s="22" t="str">
        <f t="shared" si="154"/>
        <v/>
      </c>
      <c r="C233" s="23" t="str">
        <f t="shared" si="155"/>
        <v/>
      </c>
      <c r="E233" s="23" t="str">
        <f t="shared" si="156"/>
        <v/>
      </c>
      <c r="F233" s="23" t="str">
        <f t="shared" si="156"/>
        <v/>
      </c>
      <c r="G233" s="23" t="str">
        <f t="shared" si="156"/>
        <v/>
      </c>
      <c r="H233" s="23" t="str">
        <f t="shared" si="156"/>
        <v/>
      </c>
      <c r="I233" s="61" t="str">
        <f t="shared" si="157"/>
        <v>TPPUBRT</v>
      </c>
      <c r="J233" s="228">
        <f t="shared" si="158"/>
        <v>0.57267301072509957</v>
      </c>
      <c r="K233" s="228">
        <f t="shared" si="159"/>
        <v>0.58209880506390144</v>
      </c>
      <c r="L233" s="228">
        <f t="shared" si="159"/>
        <v>0.5915245994027033</v>
      </c>
      <c r="M233" s="228">
        <f t="shared" si="159"/>
        <v>0.60095039374150516</v>
      </c>
      <c r="N233" s="228">
        <f t="shared" si="159"/>
        <v>0.61091756276776843</v>
      </c>
      <c r="O233" s="228">
        <f t="shared" si="159"/>
        <v>0.6208847317940317</v>
      </c>
      <c r="P233" s="228">
        <f t="shared" si="159"/>
        <v>0.63085190082029496</v>
      </c>
      <c r="Q233" s="228">
        <f t="shared" si="159"/>
        <v>0.64081906984655823</v>
      </c>
      <c r="R233" s="228">
        <f t="shared" si="159"/>
        <v>0.6208847317940317</v>
      </c>
      <c r="S233" s="228">
        <f t="shared" si="159"/>
        <v>2.238989450860104</v>
      </c>
      <c r="T233" s="228">
        <f t="shared" si="159"/>
        <v>3.8570941699261763</v>
      </c>
      <c r="U233" s="228">
        <f t="shared" si="159"/>
        <v>5.4751988889922485</v>
      </c>
      <c r="V233" s="228">
        <f t="shared" si="159"/>
        <v>7.0933036080583207</v>
      </c>
      <c r="W233" s="228">
        <f t="shared" si="159"/>
        <v>8.7114083271243921</v>
      </c>
      <c r="X233" s="228">
        <f t="shared" si="159"/>
        <v>10.329513046190463</v>
      </c>
      <c r="Y233" s="228">
        <f t="shared" si="159"/>
        <v>11.947617765256535</v>
      </c>
      <c r="Z233" s="228">
        <f t="shared" si="159"/>
        <v>13.565722484322606</v>
      </c>
      <c r="AA233" s="228">
        <f t="shared" si="159"/>
        <v>15.183827203388677</v>
      </c>
      <c r="AB233" s="228">
        <f t="shared" si="159"/>
        <v>5.4751988889922485</v>
      </c>
      <c r="AC233" s="228">
        <f t="shared" si="159"/>
        <v>6.2507488613949027</v>
      </c>
      <c r="AD233" s="228">
        <f t="shared" si="159"/>
        <v>7.0262988337975569</v>
      </c>
      <c r="AE233" s="228">
        <f t="shared" si="159"/>
        <v>7.8018488062002112</v>
      </c>
      <c r="AF233" s="228">
        <f t="shared" si="159"/>
        <v>8.5773987786028645</v>
      </c>
      <c r="AG233" s="228">
        <f t="shared" si="159"/>
        <v>9.3529487510055187</v>
      </c>
      <c r="AH233" s="228">
        <f t="shared" si="159"/>
        <v>10.128498723408173</v>
      </c>
      <c r="AI233" s="228">
        <f t="shared" si="159"/>
        <v>10.904048695810827</v>
      </c>
      <c r="AJ233" s="228">
        <f t="shared" si="159"/>
        <v>11.679598668213481</v>
      </c>
      <c r="AK233" s="228">
        <f t="shared" si="159"/>
        <v>12.455148640616136</v>
      </c>
      <c r="AL233" s="228">
        <f t="shared" si="159"/>
        <v>13.230698613018788</v>
      </c>
      <c r="AM233" s="228">
        <f t="shared" si="159"/>
        <v>14.467525929139146</v>
      </c>
      <c r="AN233" s="228">
        <f t="shared" si="159"/>
        <v>15.704353245259504</v>
      </c>
      <c r="AO233" s="228">
        <f t="shared" si="159"/>
        <v>16.941180561379863</v>
      </c>
      <c r="AP233" s="228">
        <f t="shared" si="159"/>
        <v>18.178007877500221</v>
      </c>
      <c r="AQ233" s="228">
        <f t="shared" si="159"/>
        <v>19.414835193620579</v>
      </c>
      <c r="AR233" s="228">
        <f t="shared" si="159"/>
        <v>20.651662509740937</v>
      </c>
      <c r="AS233" s="228">
        <f t="shared" si="159"/>
        <v>21.888489825861296</v>
      </c>
      <c r="AT233" s="228">
        <f t="shared" si="159"/>
        <v>23.125317141981654</v>
      </c>
      <c r="AU233" s="228">
        <f t="shared" si="159"/>
        <v>24.362144458102012</v>
      </c>
      <c r="AV233" s="228">
        <f t="shared" si="159"/>
        <v>25.598971774222363</v>
      </c>
      <c r="AW233" s="228">
        <f t="shared" si="159"/>
        <v>25.598971774222363</v>
      </c>
      <c r="AX233" s="228">
        <f t="shared" si="160"/>
        <v>25.598971774222363</v>
      </c>
      <c r="AZ233" s="228"/>
      <c r="BA233" s="228"/>
      <c r="BB233" s="228"/>
      <c r="BC233" s="228"/>
      <c r="BD233" s="228"/>
      <c r="BE233" s="228"/>
    </row>
    <row r="234" spans="1:57">
      <c r="A234" s="227" t="s">
        <v>17</v>
      </c>
      <c r="B234" s="22"/>
      <c r="C234" s="23"/>
      <c r="E234" s="23"/>
      <c r="F234" s="23"/>
      <c r="G234" s="23"/>
      <c r="H234" s="23"/>
      <c r="I234" s="61" t="str">
        <f t="shared" si="157"/>
        <v>TPPUMER</v>
      </c>
      <c r="J234" s="228">
        <f t="shared" si="158"/>
        <v>16.476318403814556</v>
      </c>
      <c r="K234" s="228">
        <f t="shared" si="159"/>
        <v>16.86316604698926</v>
      </c>
      <c r="L234" s="228">
        <f t="shared" si="159"/>
        <v>17.250013690163964</v>
      </c>
      <c r="M234" s="228">
        <f t="shared" si="159"/>
        <v>17.636861333338672</v>
      </c>
      <c r="N234" s="228">
        <f t="shared" si="159"/>
        <v>17.730412645510775</v>
      </c>
      <c r="O234" s="228">
        <f t="shared" si="159"/>
        <v>17.823963957682878</v>
      </c>
      <c r="P234" s="228">
        <f t="shared" si="159"/>
        <v>17.917515269854981</v>
      </c>
      <c r="Q234" s="228">
        <f t="shared" si="159"/>
        <v>18.011066582027084</v>
      </c>
      <c r="R234" s="228">
        <f t="shared" si="159"/>
        <v>17.823963957682881</v>
      </c>
      <c r="S234" s="228">
        <f t="shared" si="159"/>
        <v>17.799668052611267</v>
      </c>
      <c r="T234" s="228">
        <f t="shared" si="159"/>
        <v>17.775372147539652</v>
      </c>
      <c r="U234" s="228">
        <f t="shared" si="159"/>
        <v>17.751076242468038</v>
      </c>
      <c r="V234" s="228">
        <f t="shared" si="159"/>
        <v>17.726780337396423</v>
      </c>
      <c r="W234" s="228">
        <f t="shared" si="159"/>
        <v>17.702484432324809</v>
      </c>
      <c r="X234" s="228">
        <f t="shared" si="159"/>
        <v>17.678188527253194</v>
      </c>
      <c r="Y234" s="228">
        <f t="shared" si="159"/>
        <v>17.65389262218158</v>
      </c>
      <c r="Z234" s="228">
        <f t="shared" si="159"/>
        <v>17.629596717109965</v>
      </c>
      <c r="AA234" s="228">
        <f t="shared" si="159"/>
        <v>17.605300812038351</v>
      </c>
      <c r="AB234" s="228">
        <f t="shared" si="159"/>
        <v>17.751076242468041</v>
      </c>
      <c r="AC234" s="228">
        <f t="shared" si="159"/>
        <v>17.321026044471083</v>
      </c>
      <c r="AD234" s="228">
        <f t="shared" si="159"/>
        <v>16.890975846474124</v>
      </c>
      <c r="AE234" s="228">
        <f t="shared" si="159"/>
        <v>16.460925648477165</v>
      </c>
      <c r="AF234" s="228">
        <f t="shared" ref="AF234:AW234" si="161">IF(AF$226=-1,AG234,IF(AF$226=99,AE234,IF(AF$226=0,INDEX($E167:$K167,0,AF$224),(INDEX($E167:$K167,0,AF$226+1)-INDEX($E167:$K167,0,AF$226))/(INDEX($E$160:$K$160,0,AF$226+1)-INDEX($E$160:$K$160,0,AF$226))+AE234)))</f>
        <v>16.030875450480206</v>
      </c>
      <c r="AG234" s="228">
        <f t="shared" si="161"/>
        <v>15.600825252483247</v>
      </c>
      <c r="AH234" s="228">
        <f t="shared" si="161"/>
        <v>15.170775054486288</v>
      </c>
      <c r="AI234" s="228">
        <f t="shared" si="161"/>
        <v>14.740724856489329</v>
      </c>
      <c r="AJ234" s="228">
        <f t="shared" si="161"/>
        <v>14.310674658492371</v>
      </c>
      <c r="AK234" s="228">
        <f t="shared" si="161"/>
        <v>13.880624460495412</v>
      </c>
      <c r="AL234" s="228">
        <f t="shared" si="161"/>
        <v>13.450574262498447</v>
      </c>
      <c r="AM234" s="228">
        <f t="shared" si="161"/>
        <v>13.741676032459964</v>
      </c>
      <c r="AN234" s="228">
        <f t="shared" si="161"/>
        <v>14.03277780242148</v>
      </c>
      <c r="AO234" s="228">
        <f t="shared" si="161"/>
        <v>14.323879572382996</v>
      </c>
      <c r="AP234" s="228">
        <f t="shared" si="161"/>
        <v>14.614981342344512</v>
      </c>
      <c r="AQ234" s="228">
        <f t="shared" si="161"/>
        <v>14.906083112306028</v>
      </c>
      <c r="AR234" s="228">
        <f t="shared" si="161"/>
        <v>15.197184882267544</v>
      </c>
      <c r="AS234" s="228">
        <f t="shared" si="161"/>
        <v>15.488286652229061</v>
      </c>
      <c r="AT234" s="228">
        <f t="shared" si="161"/>
        <v>15.779388422190577</v>
      </c>
      <c r="AU234" s="228">
        <f t="shared" si="161"/>
        <v>16.070490192152093</v>
      </c>
      <c r="AV234" s="228">
        <f t="shared" si="161"/>
        <v>16.361591962113614</v>
      </c>
      <c r="AW234" s="228">
        <f t="shared" si="161"/>
        <v>16.361591962113614</v>
      </c>
      <c r="AX234" s="228">
        <f t="shared" si="160"/>
        <v>16.361591962113614</v>
      </c>
      <c r="AZ234" s="228"/>
      <c r="BA234" s="228"/>
      <c r="BB234" s="228"/>
      <c r="BC234" s="228"/>
      <c r="BD234" s="228"/>
      <c r="BE234" s="228"/>
    </row>
    <row r="235" spans="1:57">
      <c r="A235" s="227" t="s">
        <v>17</v>
      </c>
      <c r="B235" s="22"/>
      <c r="C235" s="23"/>
      <c r="E235" s="23"/>
      <c r="F235" s="23"/>
      <c r="G235" s="23"/>
      <c r="H235" s="23"/>
      <c r="I235" s="61" t="str">
        <f t="shared" si="157"/>
        <v>TPPUGAT</v>
      </c>
      <c r="J235" s="228">
        <f t="shared" si="158"/>
        <v>0.61971821350573497</v>
      </c>
      <c r="K235" s="228">
        <f t="shared" ref="K235:AW235" si="162">IF(K$226=-1,L235,IF(K$226=99,J235,IF(K$226=0,INDEX($E168:$K168,0,K$224),(INDEX($E168:$K168,0,K$226+1)-INDEX($E168:$K168,0,K$226))/(INDEX($E$160:$K$160,0,K$226+1)-INDEX($E$160:$K$160,0,K$226))+J235)))</f>
        <v>0.63281099662838625</v>
      </c>
      <c r="L235" s="228">
        <f t="shared" si="162"/>
        <v>0.64590377975103752</v>
      </c>
      <c r="M235" s="228">
        <f t="shared" si="162"/>
        <v>0.65899656287368868</v>
      </c>
      <c r="N235" s="228">
        <f t="shared" si="162"/>
        <v>0.67325785334021937</v>
      </c>
      <c r="O235" s="228">
        <f t="shared" si="162"/>
        <v>0.68751914380675005</v>
      </c>
      <c r="P235" s="228">
        <f t="shared" si="162"/>
        <v>0.70178043427328074</v>
      </c>
      <c r="Q235" s="228">
        <f t="shared" si="162"/>
        <v>0.71604172473981142</v>
      </c>
      <c r="R235" s="228">
        <f t="shared" si="162"/>
        <v>0.68751914380675005</v>
      </c>
      <c r="S235" s="228">
        <f t="shared" si="162"/>
        <v>0.70215548856734533</v>
      </c>
      <c r="T235" s="228">
        <f t="shared" si="162"/>
        <v>0.71679183332794061</v>
      </c>
      <c r="U235" s="228">
        <f t="shared" si="162"/>
        <v>0.73142817808853589</v>
      </c>
      <c r="V235" s="228">
        <f t="shared" si="162"/>
        <v>0.74606452284913116</v>
      </c>
      <c r="W235" s="228">
        <f t="shared" si="162"/>
        <v>0.76070086760972644</v>
      </c>
      <c r="X235" s="228">
        <f t="shared" si="162"/>
        <v>0.77533721237032172</v>
      </c>
      <c r="Y235" s="228">
        <f t="shared" si="162"/>
        <v>0.78997355713091699</v>
      </c>
      <c r="Z235" s="228">
        <f t="shared" si="162"/>
        <v>0.80460990189151227</v>
      </c>
      <c r="AA235" s="228">
        <f t="shared" si="162"/>
        <v>0.81924624665210755</v>
      </c>
      <c r="AB235" s="228">
        <f t="shared" si="162"/>
        <v>0.73142817808853577</v>
      </c>
      <c r="AC235" s="228">
        <f t="shared" si="162"/>
        <v>0.7466295991843398</v>
      </c>
      <c r="AD235" s="228">
        <f t="shared" si="162"/>
        <v>0.76183102028014382</v>
      </c>
      <c r="AE235" s="228">
        <f t="shared" si="162"/>
        <v>0.77703244137594785</v>
      </c>
      <c r="AF235" s="228">
        <f t="shared" si="162"/>
        <v>0.79223386247175187</v>
      </c>
      <c r="AG235" s="228">
        <f t="shared" si="162"/>
        <v>0.80743528356755589</v>
      </c>
      <c r="AH235" s="228">
        <f t="shared" si="162"/>
        <v>0.82263670466335992</v>
      </c>
      <c r="AI235" s="228">
        <f t="shared" si="162"/>
        <v>0.83783812575916394</v>
      </c>
      <c r="AJ235" s="228">
        <f t="shared" si="162"/>
        <v>0.85303954685496797</v>
      </c>
      <c r="AK235" s="228">
        <f t="shared" si="162"/>
        <v>0.86824096795077199</v>
      </c>
      <c r="AL235" s="228">
        <f t="shared" si="162"/>
        <v>0.88344238904657568</v>
      </c>
      <c r="AM235" s="228">
        <f t="shared" si="162"/>
        <v>0.9004624430149597</v>
      </c>
      <c r="AN235" s="228">
        <f t="shared" si="162"/>
        <v>0.91748249698334372</v>
      </c>
      <c r="AO235" s="228">
        <f t="shared" si="162"/>
        <v>0.93450255095172774</v>
      </c>
      <c r="AP235" s="228">
        <f t="shared" si="162"/>
        <v>0.95152260492011176</v>
      </c>
      <c r="AQ235" s="228">
        <f t="shared" si="162"/>
        <v>0.96854265888849578</v>
      </c>
      <c r="AR235" s="228">
        <f t="shared" si="162"/>
        <v>0.9855627128568798</v>
      </c>
      <c r="AS235" s="228">
        <f t="shared" si="162"/>
        <v>1.0025827668252638</v>
      </c>
      <c r="AT235" s="228">
        <f t="shared" si="162"/>
        <v>1.0196028207936478</v>
      </c>
      <c r="AU235" s="228">
        <f t="shared" si="162"/>
        <v>1.0366228747620319</v>
      </c>
      <c r="AV235" s="228">
        <f t="shared" si="162"/>
        <v>1.0536429287304157</v>
      </c>
      <c r="AW235" s="228">
        <f t="shared" si="162"/>
        <v>1.0536429287304157</v>
      </c>
      <c r="AX235" s="228">
        <f t="shared" si="160"/>
        <v>1.0536429287304157</v>
      </c>
      <c r="AZ235" s="228"/>
      <c r="BA235" s="228"/>
      <c r="BB235" s="228"/>
      <c r="BC235" s="228"/>
      <c r="BD235" s="228"/>
      <c r="BE235" s="228"/>
    </row>
    <row r="236" spans="1:57">
      <c r="B236" s="22"/>
      <c r="C236" s="23"/>
      <c r="E236" s="23"/>
      <c r="F236" s="23"/>
      <c r="G236" s="23"/>
      <c r="H236" s="23"/>
      <c r="I236" s="23"/>
      <c r="J236" s="61"/>
      <c r="K236" s="228"/>
      <c r="L236" s="228"/>
      <c r="M236" s="228"/>
      <c r="N236" s="228"/>
      <c r="O236" s="228"/>
      <c r="P236" s="228"/>
      <c r="Q236" s="228"/>
      <c r="R236" s="228"/>
      <c r="S236" s="228"/>
      <c r="T236" s="228"/>
      <c r="U236" s="228"/>
      <c r="V236" s="228"/>
      <c r="W236" s="228"/>
      <c r="X236" s="228"/>
      <c r="Y236" s="228"/>
      <c r="Z236" s="228"/>
      <c r="AA236" s="228"/>
      <c r="AB236" s="228"/>
      <c r="AC236" s="228"/>
      <c r="AD236" s="228"/>
      <c r="AE236" s="228"/>
      <c r="AF236" s="228"/>
      <c r="AG236" s="228"/>
      <c r="AH236" s="228"/>
      <c r="AI236" s="228"/>
      <c r="AJ236" s="228"/>
      <c r="AK236" s="228"/>
      <c r="AL236" s="228"/>
      <c r="AM236" s="228"/>
      <c r="AN236" s="228"/>
      <c r="AO236" s="228"/>
      <c r="AP236" s="228"/>
      <c r="AQ236" s="228"/>
      <c r="AR236" s="228"/>
      <c r="AS236" s="228"/>
      <c r="AT236" s="228"/>
      <c r="AU236" s="228"/>
      <c r="AV236" s="228"/>
      <c r="AW236" s="228"/>
    </row>
    <row r="237" spans="1:57">
      <c r="B237" s="22"/>
      <c r="C237" s="23"/>
      <c r="E237" s="23"/>
      <c r="F237" s="23"/>
      <c r="G237" s="23"/>
      <c r="H237" s="23"/>
      <c r="I237" s="23"/>
      <c r="J237" s="61"/>
      <c r="K237" s="228"/>
      <c r="L237" s="228"/>
      <c r="M237" s="228"/>
      <c r="N237" s="228"/>
      <c r="O237" s="228"/>
      <c r="P237" s="228"/>
      <c r="Q237" s="228"/>
      <c r="R237" s="228"/>
      <c r="S237" s="228"/>
      <c r="T237" s="228"/>
      <c r="U237" s="228"/>
      <c r="V237" s="228"/>
      <c r="W237" s="228"/>
      <c r="X237" s="228"/>
      <c r="Y237" s="228"/>
      <c r="Z237" s="228"/>
      <c r="AA237" s="228"/>
      <c r="AB237" s="228"/>
      <c r="AC237" s="228"/>
      <c r="AD237" s="228"/>
      <c r="AE237" s="228"/>
      <c r="AF237" s="228"/>
      <c r="AG237" s="228"/>
      <c r="AH237" s="228"/>
      <c r="AI237" s="228"/>
      <c r="AJ237" s="228"/>
      <c r="AK237" s="228"/>
      <c r="AL237" s="228"/>
      <c r="AM237" s="228"/>
      <c r="AN237" s="228"/>
      <c r="AO237" s="228"/>
      <c r="AP237" s="228"/>
      <c r="AQ237" s="228"/>
      <c r="AR237" s="228"/>
      <c r="AS237" s="228"/>
      <c r="AT237" s="228"/>
      <c r="AU237" s="228"/>
      <c r="AV237" s="228"/>
      <c r="AW237" s="228"/>
    </row>
    <row r="238" spans="1:57">
      <c r="B238" s="22"/>
      <c r="C238" s="23"/>
      <c r="E238" s="23"/>
      <c r="F238" s="23"/>
      <c r="G238" s="23"/>
      <c r="H238" s="23"/>
      <c r="I238" s="23"/>
      <c r="J238" s="61"/>
      <c r="K238" s="228"/>
      <c r="L238" s="228"/>
      <c r="M238" s="228"/>
      <c r="N238" s="228"/>
      <c r="O238" s="228"/>
      <c r="P238" s="228"/>
      <c r="Q238" s="228"/>
      <c r="R238" s="228"/>
      <c r="S238" s="228"/>
      <c r="T238" s="228"/>
      <c r="U238" s="228"/>
      <c r="V238" s="228"/>
      <c r="W238" s="228"/>
      <c r="X238" s="228"/>
      <c r="Y238" s="228"/>
      <c r="Z238" s="228"/>
      <c r="AA238" s="228"/>
      <c r="AB238" s="228"/>
      <c r="AC238" s="228"/>
      <c r="AD238" s="228"/>
      <c r="AE238" s="228"/>
      <c r="AF238" s="228"/>
      <c r="AG238" s="228"/>
      <c r="AH238" s="228"/>
      <c r="AI238" s="228"/>
      <c r="AJ238" s="228"/>
      <c r="AK238" s="228"/>
      <c r="AL238" s="228"/>
      <c r="AM238" s="228"/>
      <c r="AN238" s="228"/>
      <c r="AO238" s="228"/>
      <c r="AP238" s="228"/>
      <c r="AQ238" s="228"/>
      <c r="AR238" s="228"/>
      <c r="AS238" s="228"/>
      <c r="AT238" s="228"/>
      <c r="AU238" s="228"/>
      <c r="AV238" s="228"/>
      <c r="AW238" s="228"/>
    </row>
    <row r="239" spans="1:57">
      <c r="B239" s="22"/>
      <c r="C239" s="23"/>
      <c r="E239" s="23"/>
      <c r="F239" s="23"/>
      <c r="G239" s="23"/>
      <c r="H239" s="23"/>
      <c r="I239" s="23"/>
      <c r="J239" s="61"/>
      <c r="K239" s="228"/>
      <c r="L239" s="228"/>
      <c r="M239" s="228"/>
      <c r="N239" s="228"/>
      <c r="O239" s="228"/>
      <c r="P239" s="228"/>
      <c r="Q239" s="228"/>
      <c r="R239" s="228"/>
      <c r="S239" s="228"/>
      <c r="T239" s="228"/>
      <c r="U239" s="228"/>
      <c r="V239" s="228"/>
      <c r="W239" s="228"/>
      <c r="X239" s="228"/>
      <c r="Y239" s="228"/>
      <c r="Z239" s="228"/>
      <c r="AA239" s="228"/>
      <c r="AB239" s="228"/>
      <c r="AC239" s="228"/>
      <c r="AD239" s="228"/>
      <c r="AE239" s="228"/>
      <c r="AF239" s="228"/>
      <c r="AG239" s="228"/>
      <c r="AH239" s="228"/>
      <c r="AI239" s="228"/>
      <c r="AJ239" s="228"/>
      <c r="AK239" s="228"/>
      <c r="AL239" s="228"/>
      <c r="AM239" s="228"/>
      <c r="AN239" s="228"/>
      <c r="AO239" s="228"/>
      <c r="AP239" s="228"/>
      <c r="AQ239" s="228"/>
      <c r="AR239" s="228"/>
      <c r="AS239" s="228"/>
      <c r="AT239" s="228"/>
      <c r="AU239" s="228"/>
      <c r="AV239" s="228"/>
      <c r="AW239" s="228"/>
    </row>
    <row r="240" spans="1:57">
      <c r="B240" s="22"/>
      <c r="C240" s="23"/>
      <c r="E240" s="23"/>
      <c r="F240" s="23"/>
      <c r="G240" s="23"/>
      <c r="H240" s="23"/>
      <c r="I240" s="23"/>
      <c r="J240" s="61"/>
      <c r="K240" s="228"/>
      <c r="L240" s="228"/>
      <c r="M240" s="228"/>
      <c r="N240" s="228"/>
      <c r="O240" s="228"/>
      <c r="P240" s="228"/>
      <c r="Q240" s="228"/>
      <c r="R240" s="228"/>
      <c r="S240" s="228"/>
      <c r="T240" s="228"/>
      <c r="U240" s="228"/>
      <c r="V240" s="228"/>
      <c r="W240" s="228"/>
      <c r="X240" s="228"/>
      <c r="Y240" s="228"/>
      <c r="Z240" s="228"/>
      <c r="AA240" s="228"/>
      <c r="AB240" s="228"/>
      <c r="AC240" s="228"/>
      <c r="AD240" s="228"/>
      <c r="AE240" s="228"/>
      <c r="AF240" s="228"/>
      <c r="AG240" s="228"/>
      <c r="AH240" s="228"/>
      <c r="AI240" s="228"/>
      <c r="AJ240" s="228"/>
      <c r="AK240" s="228"/>
      <c r="AL240" s="228"/>
      <c r="AM240" s="228"/>
      <c r="AN240" s="228"/>
      <c r="AO240" s="228"/>
      <c r="AP240" s="228"/>
      <c r="AQ240" s="228"/>
      <c r="AR240" s="228"/>
      <c r="AS240" s="228"/>
      <c r="AT240" s="228"/>
      <c r="AU240" s="228"/>
      <c r="AV240" s="228"/>
      <c r="AW240" s="228"/>
    </row>
    <row r="241" spans="1:57">
      <c r="B241" s="22"/>
      <c r="C241" s="23"/>
      <c r="E241" s="23"/>
      <c r="F241" s="23"/>
      <c r="G241" s="23"/>
      <c r="H241" s="23"/>
      <c r="I241" s="23"/>
      <c r="J241" s="61"/>
      <c r="K241" s="228"/>
      <c r="L241" s="228"/>
      <c r="M241" s="228"/>
      <c r="N241" s="228"/>
      <c r="O241" s="228"/>
      <c r="P241" s="228"/>
      <c r="Q241" s="228"/>
      <c r="R241" s="228"/>
      <c r="S241" s="228"/>
      <c r="T241" s="228"/>
      <c r="U241" s="228"/>
      <c r="V241" s="228"/>
      <c r="W241" s="228"/>
      <c r="X241" s="228"/>
      <c r="Y241" s="228"/>
      <c r="Z241" s="228"/>
      <c r="AA241" s="228"/>
      <c r="AB241" s="228"/>
      <c r="AC241" s="228"/>
      <c r="AD241" s="228"/>
      <c r="AE241" s="228"/>
      <c r="AF241" s="228"/>
      <c r="AG241" s="228"/>
      <c r="AH241" s="228"/>
      <c r="AI241" s="228"/>
      <c r="AJ241" s="228"/>
      <c r="AK241" s="228"/>
      <c r="AL241" s="228"/>
      <c r="AM241" s="228"/>
      <c r="AN241" s="228"/>
      <c r="AO241" s="228"/>
      <c r="AP241" s="228"/>
      <c r="AQ241" s="228"/>
      <c r="AR241" s="228"/>
      <c r="AS241" s="228"/>
      <c r="AT241" s="228"/>
      <c r="AU241" s="228"/>
      <c r="AV241" s="228"/>
      <c r="AW241" s="228"/>
    </row>
    <row r="242" spans="1:57">
      <c r="B242" s="22"/>
      <c r="C242" s="23"/>
      <c r="E242" s="23"/>
      <c r="F242" s="23"/>
      <c r="G242" s="23"/>
      <c r="H242" s="23"/>
      <c r="I242" s="23"/>
      <c r="J242" s="61"/>
      <c r="K242" s="228"/>
      <c r="L242" s="228"/>
      <c r="M242" s="228"/>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c r="AL242" s="228"/>
      <c r="AM242" s="228"/>
      <c r="AN242" s="228"/>
      <c r="AO242" s="228"/>
      <c r="AP242" s="228"/>
      <c r="AQ242" s="228"/>
      <c r="AR242" s="228"/>
      <c r="AS242" s="228"/>
      <c r="AT242" s="228"/>
      <c r="AU242" s="228"/>
      <c r="AV242" s="228"/>
      <c r="AW242" s="228"/>
    </row>
    <row r="243" spans="1:57">
      <c r="A243" s="227" t="s">
        <v>17</v>
      </c>
    </row>
    <row r="244" spans="1:57">
      <c r="A244" s="227" t="s">
        <v>17</v>
      </c>
      <c r="C244" s="227">
        <f>C223</f>
        <v>1</v>
      </c>
      <c r="D244" s="227">
        <v>2012</v>
      </c>
      <c r="E244" s="227">
        <f>E223</f>
        <v>2015</v>
      </c>
      <c r="F244" s="227">
        <f>F223</f>
        <v>2020</v>
      </c>
      <c r="G244" s="227">
        <f>G223</f>
        <v>2030</v>
      </c>
      <c r="H244" s="227">
        <f t="shared" ref="H244:I244" si="163">H223</f>
        <v>2040</v>
      </c>
      <c r="I244" s="227">
        <f t="shared" si="163"/>
        <v>2050</v>
      </c>
      <c r="J244" s="227">
        <f>I223</f>
        <v>2050</v>
      </c>
      <c r="K244" s="137">
        <f>MATCH(K$254,$D$244:$J$244,$C244)</f>
        <v>1</v>
      </c>
      <c r="L244" s="233">
        <f t="shared" ref="L244:AQ245" si="164">MATCH(K$227,$D$223:$I$223,$C244)</f>
        <v>1</v>
      </c>
      <c r="M244" s="233">
        <f t="shared" si="164"/>
        <v>1</v>
      </c>
      <c r="N244" s="233">
        <f t="shared" si="164"/>
        <v>2</v>
      </c>
      <c r="O244" s="233">
        <f t="shared" si="164"/>
        <v>2</v>
      </c>
      <c r="P244" s="233">
        <f t="shared" si="164"/>
        <v>2</v>
      </c>
      <c r="Q244" s="233">
        <f t="shared" si="164"/>
        <v>2</v>
      </c>
      <c r="R244" s="233">
        <f t="shared" si="164"/>
        <v>2</v>
      </c>
      <c r="S244" s="233">
        <f t="shared" si="164"/>
        <v>3</v>
      </c>
      <c r="T244" s="233">
        <f t="shared" si="164"/>
        <v>3</v>
      </c>
      <c r="U244" s="233">
        <f t="shared" si="164"/>
        <v>3</v>
      </c>
      <c r="V244" s="233">
        <f t="shared" si="164"/>
        <v>3</v>
      </c>
      <c r="W244" s="233">
        <f t="shared" si="164"/>
        <v>3</v>
      </c>
      <c r="X244" s="233">
        <f t="shared" si="164"/>
        <v>3</v>
      </c>
      <c r="Y244" s="233">
        <f t="shared" si="164"/>
        <v>3</v>
      </c>
      <c r="Z244" s="233">
        <f t="shared" si="164"/>
        <v>3</v>
      </c>
      <c r="AA244" s="233">
        <f t="shared" si="164"/>
        <v>3</v>
      </c>
      <c r="AB244" s="233">
        <f t="shared" si="164"/>
        <v>3</v>
      </c>
      <c r="AC244" s="233">
        <f t="shared" si="164"/>
        <v>4</v>
      </c>
      <c r="AD244" s="233">
        <f t="shared" si="164"/>
        <v>4</v>
      </c>
      <c r="AE244" s="233">
        <f t="shared" si="164"/>
        <v>4</v>
      </c>
      <c r="AF244" s="233">
        <f t="shared" si="164"/>
        <v>4</v>
      </c>
      <c r="AG244" s="233">
        <f t="shared" si="164"/>
        <v>4</v>
      </c>
      <c r="AH244" s="233">
        <f t="shared" si="164"/>
        <v>4</v>
      </c>
      <c r="AI244" s="233">
        <f t="shared" si="164"/>
        <v>4</v>
      </c>
      <c r="AJ244" s="233">
        <f t="shared" si="164"/>
        <v>4</v>
      </c>
      <c r="AK244" s="233">
        <f t="shared" si="164"/>
        <v>4</v>
      </c>
      <c r="AL244" s="233">
        <f t="shared" si="164"/>
        <v>4</v>
      </c>
      <c r="AM244" s="233">
        <f t="shared" si="164"/>
        <v>5</v>
      </c>
      <c r="AN244" s="233">
        <f t="shared" si="164"/>
        <v>5</v>
      </c>
      <c r="AO244" s="233">
        <f t="shared" si="164"/>
        <v>5</v>
      </c>
      <c r="AP244" s="233">
        <f t="shared" si="164"/>
        <v>5</v>
      </c>
      <c r="AQ244" s="233">
        <f t="shared" si="164"/>
        <v>5</v>
      </c>
      <c r="AR244" s="233">
        <f t="shared" ref="AR244:BE245" si="165">MATCH(AR$254,$D$223:$I$223,$C244)</f>
        <v>5</v>
      </c>
      <c r="AS244" s="233">
        <f t="shared" si="165"/>
        <v>5</v>
      </c>
      <c r="AT244" s="233">
        <f t="shared" si="165"/>
        <v>5</v>
      </c>
      <c r="AU244" s="233">
        <f t="shared" si="165"/>
        <v>5</v>
      </c>
      <c r="AV244" s="233">
        <f t="shared" si="165"/>
        <v>5</v>
      </c>
      <c r="AW244" s="233">
        <f t="shared" si="165"/>
        <v>6</v>
      </c>
      <c r="AX244" s="233">
        <f t="shared" si="165"/>
        <v>6</v>
      </c>
      <c r="AY244" s="233">
        <f t="shared" si="165"/>
        <v>6</v>
      </c>
      <c r="AZ244" s="233">
        <f t="shared" si="165"/>
        <v>6</v>
      </c>
      <c r="BA244" s="233">
        <f t="shared" si="165"/>
        <v>6</v>
      </c>
      <c r="BB244" s="233">
        <f t="shared" si="165"/>
        <v>6</v>
      </c>
      <c r="BC244" s="233">
        <f t="shared" si="165"/>
        <v>6</v>
      </c>
      <c r="BD244" s="233">
        <f t="shared" si="165"/>
        <v>6</v>
      </c>
      <c r="BE244" s="233">
        <f t="shared" si="165"/>
        <v>6</v>
      </c>
    </row>
    <row r="245" spans="1:57">
      <c r="A245" s="227" t="s">
        <v>17</v>
      </c>
      <c r="C245" s="227">
        <f>C224</f>
        <v>0</v>
      </c>
      <c r="D245" s="227">
        <f t="shared" ref="D245:I246" si="166">D224</f>
        <v>2050</v>
      </c>
      <c r="E245" s="227">
        <f t="shared" si="166"/>
        <v>2040</v>
      </c>
      <c r="F245" s="227">
        <f t="shared" si="166"/>
        <v>2030</v>
      </c>
      <c r="G245" s="227">
        <f t="shared" si="166"/>
        <v>2020</v>
      </c>
      <c r="H245" s="227">
        <f t="shared" si="166"/>
        <v>2015</v>
      </c>
      <c r="I245" s="227">
        <f t="shared" si="166"/>
        <v>2006</v>
      </c>
      <c r="J245" s="227">
        <v>2012</v>
      </c>
      <c r="K245" s="41">
        <f>MATCH(K$254,$D$244:$J$244,$C245)</f>
        <v>1</v>
      </c>
      <c r="L245" s="227" t="e">
        <f t="shared" si="164"/>
        <v>#N/A</v>
      </c>
      <c r="M245" s="227" t="e">
        <f t="shared" si="164"/>
        <v>#N/A</v>
      </c>
      <c r="N245" s="227">
        <f t="shared" si="164"/>
        <v>2</v>
      </c>
      <c r="O245" s="227" t="e">
        <f t="shared" si="164"/>
        <v>#N/A</v>
      </c>
      <c r="P245" s="227" t="e">
        <f t="shared" si="164"/>
        <v>#N/A</v>
      </c>
      <c r="Q245" s="227" t="e">
        <f t="shared" si="164"/>
        <v>#N/A</v>
      </c>
      <c r="R245" s="227" t="e">
        <f t="shared" si="164"/>
        <v>#N/A</v>
      </c>
      <c r="S245" s="227">
        <f t="shared" si="164"/>
        <v>3</v>
      </c>
      <c r="T245" s="227" t="e">
        <f t="shared" si="164"/>
        <v>#N/A</v>
      </c>
      <c r="U245" s="227" t="e">
        <f t="shared" si="164"/>
        <v>#N/A</v>
      </c>
      <c r="V245" s="227" t="e">
        <f t="shared" si="164"/>
        <v>#N/A</v>
      </c>
      <c r="W245" s="227" t="e">
        <f t="shared" si="164"/>
        <v>#N/A</v>
      </c>
      <c r="X245" s="227" t="e">
        <f t="shared" si="164"/>
        <v>#N/A</v>
      </c>
      <c r="Y245" s="227" t="e">
        <f t="shared" si="164"/>
        <v>#N/A</v>
      </c>
      <c r="Z245" s="227" t="e">
        <f t="shared" si="164"/>
        <v>#N/A</v>
      </c>
      <c r="AA245" s="227" t="e">
        <f t="shared" si="164"/>
        <v>#N/A</v>
      </c>
      <c r="AB245" s="227" t="e">
        <f t="shared" si="164"/>
        <v>#N/A</v>
      </c>
      <c r="AC245" s="227">
        <f t="shared" si="164"/>
        <v>4</v>
      </c>
      <c r="AD245" s="227" t="e">
        <f t="shared" si="164"/>
        <v>#N/A</v>
      </c>
      <c r="AE245" s="227" t="e">
        <f t="shared" si="164"/>
        <v>#N/A</v>
      </c>
      <c r="AF245" s="227" t="e">
        <f t="shared" si="164"/>
        <v>#N/A</v>
      </c>
      <c r="AG245" s="227" t="e">
        <f t="shared" si="164"/>
        <v>#N/A</v>
      </c>
      <c r="AH245" s="227" t="e">
        <f t="shared" si="164"/>
        <v>#N/A</v>
      </c>
      <c r="AI245" s="227" t="e">
        <f t="shared" si="164"/>
        <v>#N/A</v>
      </c>
      <c r="AJ245" s="227" t="e">
        <f t="shared" si="164"/>
        <v>#N/A</v>
      </c>
      <c r="AK245" s="227" t="e">
        <f t="shared" si="164"/>
        <v>#N/A</v>
      </c>
      <c r="AL245" s="227" t="e">
        <f t="shared" si="164"/>
        <v>#N/A</v>
      </c>
      <c r="AM245" s="227">
        <f t="shared" si="164"/>
        <v>5</v>
      </c>
      <c r="AN245" s="227" t="e">
        <f t="shared" si="164"/>
        <v>#N/A</v>
      </c>
      <c r="AO245" s="227" t="e">
        <f t="shared" si="164"/>
        <v>#N/A</v>
      </c>
      <c r="AP245" s="227" t="e">
        <f t="shared" si="164"/>
        <v>#N/A</v>
      </c>
      <c r="AQ245" s="227" t="e">
        <f t="shared" si="164"/>
        <v>#N/A</v>
      </c>
      <c r="AR245" s="227" t="e">
        <f t="shared" si="165"/>
        <v>#N/A</v>
      </c>
      <c r="AS245" s="227" t="e">
        <f t="shared" si="165"/>
        <v>#N/A</v>
      </c>
      <c r="AT245" s="227" t="e">
        <f t="shared" si="165"/>
        <v>#N/A</v>
      </c>
      <c r="AU245" s="227" t="e">
        <f t="shared" si="165"/>
        <v>#N/A</v>
      </c>
      <c r="AV245" s="227" t="e">
        <f t="shared" si="165"/>
        <v>#N/A</v>
      </c>
      <c r="AW245" s="227">
        <f t="shared" si="165"/>
        <v>6</v>
      </c>
      <c r="AX245" s="227" t="e">
        <f t="shared" si="165"/>
        <v>#N/A</v>
      </c>
      <c r="AY245" s="227" t="e">
        <f t="shared" si="165"/>
        <v>#N/A</v>
      </c>
      <c r="AZ245" s="227" t="e">
        <f t="shared" si="165"/>
        <v>#N/A</v>
      </c>
      <c r="BA245" s="227" t="e">
        <f t="shared" si="165"/>
        <v>#N/A</v>
      </c>
      <c r="BB245" s="227" t="e">
        <f t="shared" si="165"/>
        <v>#N/A</v>
      </c>
      <c r="BC245" s="227" t="e">
        <f t="shared" si="165"/>
        <v>#N/A</v>
      </c>
      <c r="BD245" s="227" t="e">
        <f t="shared" si="165"/>
        <v>#N/A</v>
      </c>
      <c r="BE245" s="227" t="e">
        <f t="shared" si="165"/>
        <v>#N/A</v>
      </c>
    </row>
    <row r="246" spans="1:57">
      <c r="A246" s="227" t="s">
        <v>17</v>
      </c>
      <c r="C246" s="227">
        <f>C225</f>
        <v>-1</v>
      </c>
      <c r="D246" s="227">
        <f t="shared" si="166"/>
        <v>0</v>
      </c>
      <c r="E246" s="227">
        <f t="shared" si="166"/>
        <v>1</v>
      </c>
      <c r="F246" s="227">
        <f t="shared" si="166"/>
        <v>2</v>
      </c>
      <c r="G246" s="227">
        <f t="shared" si="166"/>
        <v>3</v>
      </c>
      <c r="H246" s="227">
        <f t="shared" si="166"/>
        <v>4</v>
      </c>
      <c r="I246" s="227">
        <f t="shared" si="166"/>
        <v>5</v>
      </c>
      <c r="J246" s="227">
        <f>I225</f>
        <v>5</v>
      </c>
      <c r="K246" s="227">
        <f>MATCH(K$254,$D$245:$J$245,$C246)</f>
        <v>5</v>
      </c>
      <c r="L246" s="227">
        <f t="shared" ref="L246:AQ246" si="167">MATCH(K$227,$D$224:$I$224,$C246)</f>
        <v>5</v>
      </c>
      <c r="M246" s="227">
        <f t="shared" si="167"/>
        <v>5</v>
      </c>
      <c r="N246" s="227">
        <f t="shared" si="167"/>
        <v>5</v>
      </c>
      <c r="O246" s="227">
        <f t="shared" si="167"/>
        <v>4</v>
      </c>
      <c r="P246" s="227">
        <f t="shared" si="167"/>
        <v>4</v>
      </c>
      <c r="Q246" s="227">
        <f t="shared" si="167"/>
        <v>4</v>
      </c>
      <c r="R246" s="227">
        <f t="shared" si="167"/>
        <v>4</v>
      </c>
      <c r="S246" s="227">
        <f t="shared" si="167"/>
        <v>4</v>
      </c>
      <c r="T246" s="227">
        <f t="shared" si="167"/>
        <v>3</v>
      </c>
      <c r="U246" s="227">
        <f t="shared" si="167"/>
        <v>3</v>
      </c>
      <c r="V246" s="227">
        <f t="shared" si="167"/>
        <v>3</v>
      </c>
      <c r="W246" s="227">
        <f t="shared" si="167"/>
        <v>3</v>
      </c>
      <c r="X246" s="227">
        <f t="shared" si="167"/>
        <v>3</v>
      </c>
      <c r="Y246" s="227">
        <f t="shared" si="167"/>
        <v>3</v>
      </c>
      <c r="Z246" s="227">
        <f t="shared" si="167"/>
        <v>3</v>
      </c>
      <c r="AA246" s="227">
        <f t="shared" si="167"/>
        <v>3</v>
      </c>
      <c r="AB246" s="227">
        <f t="shared" si="167"/>
        <v>3</v>
      </c>
      <c r="AC246" s="227">
        <f t="shared" si="167"/>
        <v>3</v>
      </c>
      <c r="AD246" s="227">
        <f t="shared" si="167"/>
        <v>2</v>
      </c>
      <c r="AE246" s="227">
        <f t="shared" si="167"/>
        <v>2</v>
      </c>
      <c r="AF246" s="227">
        <f t="shared" si="167"/>
        <v>2</v>
      </c>
      <c r="AG246" s="227">
        <f t="shared" si="167"/>
        <v>2</v>
      </c>
      <c r="AH246" s="227">
        <f t="shared" si="167"/>
        <v>2</v>
      </c>
      <c r="AI246" s="227">
        <f t="shared" si="167"/>
        <v>2</v>
      </c>
      <c r="AJ246" s="227">
        <f t="shared" si="167"/>
        <v>2</v>
      </c>
      <c r="AK246" s="227">
        <f t="shared" si="167"/>
        <v>2</v>
      </c>
      <c r="AL246" s="227">
        <f t="shared" si="167"/>
        <v>2</v>
      </c>
      <c r="AM246" s="227">
        <f t="shared" si="167"/>
        <v>2</v>
      </c>
      <c r="AN246" s="227">
        <f t="shared" si="167"/>
        <v>1</v>
      </c>
      <c r="AO246" s="227">
        <f t="shared" si="167"/>
        <v>1</v>
      </c>
      <c r="AP246" s="227">
        <f t="shared" si="167"/>
        <v>1</v>
      </c>
      <c r="AQ246" s="227">
        <f t="shared" si="167"/>
        <v>1</v>
      </c>
      <c r="AR246" s="227">
        <f t="shared" ref="AR246:BE246" si="168">MATCH(AR$254,$D$224:$I$224,$C246)</f>
        <v>1</v>
      </c>
      <c r="AS246" s="227">
        <f t="shared" si="168"/>
        <v>1</v>
      </c>
      <c r="AT246" s="227">
        <f t="shared" si="168"/>
        <v>1</v>
      </c>
      <c r="AU246" s="227">
        <f t="shared" si="168"/>
        <v>1</v>
      </c>
      <c r="AV246" s="227">
        <f t="shared" si="168"/>
        <v>1</v>
      </c>
      <c r="AW246" s="227">
        <f t="shared" si="168"/>
        <v>1</v>
      </c>
      <c r="AX246" s="227" t="e">
        <f t="shared" si="168"/>
        <v>#N/A</v>
      </c>
      <c r="AY246" s="227" t="e">
        <f t="shared" si="168"/>
        <v>#N/A</v>
      </c>
      <c r="AZ246" s="227" t="e">
        <f t="shared" si="168"/>
        <v>#N/A</v>
      </c>
      <c r="BA246" s="227" t="e">
        <f t="shared" si="168"/>
        <v>#N/A</v>
      </c>
      <c r="BB246" s="227" t="e">
        <f t="shared" si="168"/>
        <v>#N/A</v>
      </c>
      <c r="BC246" s="227" t="e">
        <f t="shared" si="168"/>
        <v>#N/A</v>
      </c>
      <c r="BD246" s="227" t="e">
        <f t="shared" si="168"/>
        <v>#N/A</v>
      </c>
      <c r="BE246" s="227" t="e">
        <f t="shared" si="168"/>
        <v>#N/A</v>
      </c>
    </row>
    <row r="247" spans="1:57">
      <c r="A247" s="227" t="s">
        <v>17</v>
      </c>
      <c r="K247" s="231">
        <f>IF(ISNA(K244),-1,IF(ISNA(K246),99,IF(ISNA(K245),K244,0)))</f>
        <v>0</v>
      </c>
      <c r="L247" s="231">
        <f>IF(ISNA(L244),-1,IF(ISNA(L246),99,IF(ISNA(L245),L244,0)))</f>
        <v>1</v>
      </c>
      <c r="M247" s="231">
        <f t="shared" ref="M247:BE247" si="169">IF(ISNA(M244),-1,IF(ISNA(M246),99,IF(ISNA(M245),M244,0)))</f>
        <v>1</v>
      </c>
      <c r="N247" s="231">
        <f t="shared" si="169"/>
        <v>0</v>
      </c>
      <c r="O247" s="231">
        <f t="shared" si="169"/>
        <v>2</v>
      </c>
      <c r="P247" s="231">
        <f t="shared" si="169"/>
        <v>2</v>
      </c>
      <c r="Q247" s="231">
        <f t="shared" si="169"/>
        <v>2</v>
      </c>
      <c r="R247" s="231">
        <f t="shared" si="169"/>
        <v>2</v>
      </c>
      <c r="S247" s="231">
        <f t="shared" si="169"/>
        <v>0</v>
      </c>
      <c r="T247" s="231">
        <f t="shared" si="169"/>
        <v>3</v>
      </c>
      <c r="U247" s="231">
        <f t="shared" si="169"/>
        <v>3</v>
      </c>
      <c r="V247" s="231">
        <f t="shared" si="169"/>
        <v>3</v>
      </c>
      <c r="W247" s="231">
        <f t="shared" si="169"/>
        <v>3</v>
      </c>
      <c r="X247" s="231">
        <f t="shared" si="169"/>
        <v>3</v>
      </c>
      <c r="Y247" s="231">
        <f t="shared" si="169"/>
        <v>3</v>
      </c>
      <c r="Z247" s="231">
        <f t="shared" si="169"/>
        <v>3</v>
      </c>
      <c r="AA247" s="231">
        <f t="shared" si="169"/>
        <v>3</v>
      </c>
      <c r="AB247" s="231">
        <f t="shared" si="169"/>
        <v>3</v>
      </c>
      <c r="AC247" s="231">
        <f t="shared" si="169"/>
        <v>0</v>
      </c>
      <c r="AD247" s="231">
        <f t="shared" si="169"/>
        <v>4</v>
      </c>
      <c r="AE247" s="231">
        <f t="shared" si="169"/>
        <v>4</v>
      </c>
      <c r="AF247" s="231">
        <f t="shared" si="169"/>
        <v>4</v>
      </c>
      <c r="AG247" s="231">
        <f t="shared" si="169"/>
        <v>4</v>
      </c>
      <c r="AH247" s="231">
        <f t="shared" si="169"/>
        <v>4</v>
      </c>
      <c r="AI247" s="231">
        <f t="shared" si="169"/>
        <v>4</v>
      </c>
      <c r="AJ247" s="231">
        <f t="shared" si="169"/>
        <v>4</v>
      </c>
      <c r="AK247" s="231">
        <f t="shared" si="169"/>
        <v>4</v>
      </c>
      <c r="AL247" s="231">
        <f t="shared" si="169"/>
        <v>4</v>
      </c>
      <c r="AM247" s="231">
        <f t="shared" si="169"/>
        <v>0</v>
      </c>
      <c r="AN247" s="231">
        <f t="shared" si="169"/>
        <v>5</v>
      </c>
      <c r="AO247" s="231">
        <f t="shared" si="169"/>
        <v>5</v>
      </c>
      <c r="AP247" s="231">
        <f t="shared" si="169"/>
        <v>5</v>
      </c>
      <c r="AQ247" s="231">
        <f t="shared" si="169"/>
        <v>5</v>
      </c>
      <c r="AR247" s="231">
        <f t="shared" si="169"/>
        <v>5</v>
      </c>
      <c r="AS247" s="231">
        <f t="shared" si="169"/>
        <v>5</v>
      </c>
      <c r="AT247" s="231">
        <f t="shared" si="169"/>
        <v>5</v>
      </c>
      <c r="AU247" s="231">
        <f t="shared" si="169"/>
        <v>5</v>
      </c>
      <c r="AV247" s="231">
        <f t="shared" si="169"/>
        <v>5</v>
      </c>
      <c r="AW247" s="231">
        <f t="shared" si="169"/>
        <v>0</v>
      </c>
      <c r="AX247" s="231">
        <f t="shared" si="169"/>
        <v>99</v>
      </c>
      <c r="AY247" s="231">
        <f t="shared" si="169"/>
        <v>99</v>
      </c>
      <c r="AZ247" s="231">
        <f t="shared" si="169"/>
        <v>99</v>
      </c>
      <c r="BA247" s="231">
        <f t="shared" si="169"/>
        <v>99</v>
      </c>
      <c r="BB247" s="231">
        <f t="shared" si="169"/>
        <v>99</v>
      </c>
      <c r="BC247" s="231">
        <f t="shared" si="169"/>
        <v>99</v>
      </c>
      <c r="BD247" s="231">
        <f t="shared" si="169"/>
        <v>99</v>
      </c>
      <c r="BE247" s="231">
        <f t="shared" si="169"/>
        <v>99</v>
      </c>
    </row>
    <row r="248" spans="1:57">
      <c r="A248" s="227" t="s">
        <v>17</v>
      </c>
      <c r="B248" s="227" t="s">
        <v>282</v>
      </c>
      <c r="C248" s="228" t="s">
        <v>464</v>
      </c>
      <c r="D248" s="130">
        <f t="shared" ref="D248:J250" si="170">E107/E$111</f>
        <v>8.650408805165757E-3</v>
      </c>
      <c r="E248" s="130">
        <f t="shared" si="170"/>
        <v>9.5787619324500389E-3</v>
      </c>
      <c r="F248" s="130">
        <f t="shared" ref="F248:I250" si="171">H107/H$111</f>
        <v>8.4778714134596395E-3</v>
      </c>
      <c r="G248" s="130">
        <f t="shared" si="171"/>
        <v>6.7863929883967998E-3</v>
      </c>
      <c r="H248" s="130">
        <f t="shared" si="171"/>
        <v>5.333823973755549E-3</v>
      </c>
      <c r="I248" s="130">
        <f t="shared" si="171"/>
        <v>4.3979913495258227E-3</v>
      </c>
      <c r="J248" s="130">
        <f t="shared" si="170"/>
        <v>4.3979913495258227E-3</v>
      </c>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row>
    <row r="249" spans="1:57">
      <c r="A249" s="227" t="s">
        <v>17</v>
      </c>
      <c r="B249" s="227" t="s">
        <v>283</v>
      </c>
      <c r="C249" s="228" t="s">
        <v>464</v>
      </c>
      <c r="D249" s="130">
        <f t="shared" si="170"/>
        <v>0.34745330485526793</v>
      </c>
      <c r="E249" s="130">
        <f t="shared" si="170"/>
        <v>0.33761324269636439</v>
      </c>
      <c r="F249" s="130">
        <f t="shared" si="171"/>
        <v>0.32541687694923704</v>
      </c>
      <c r="G249" s="130">
        <f t="shared" si="171"/>
        <v>0.31393425508597056</v>
      </c>
      <c r="H249" s="130">
        <f t="shared" si="171"/>
        <v>0.30449148871422421</v>
      </c>
      <c r="I249" s="130">
        <f t="shared" si="171"/>
        <v>0.29762162849086055</v>
      </c>
      <c r="J249" s="130">
        <f t="shared" si="170"/>
        <v>0.29762162849086055</v>
      </c>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row>
    <row r="250" spans="1:57">
      <c r="A250" s="227" t="s">
        <v>17</v>
      </c>
      <c r="B250" s="227" t="s">
        <v>284</v>
      </c>
      <c r="C250" s="228" t="s">
        <v>464</v>
      </c>
      <c r="D250" s="130">
        <f t="shared" si="170"/>
        <v>0.58821572626768825</v>
      </c>
      <c r="E250" s="130">
        <f t="shared" si="170"/>
        <v>0.58839565655234405</v>
      </c>
      <c r="F250" s="130">
        <f t="shared" si="171"/>
        <v>0.60696243999601929</v>
      </c>
      <c r="G250" s="130">
        <f t="shared" si="171"/>
        <v>0.62547955688623524</v>
      </c>
      <c r="H250" s="130">
        <f t="shared" si="171"/>
        <v>0.64065941617696276</v>
      </c>
      <c r="I250" s="130">
        <f t="shared" si="171"/>
        <v>0.65267501124343297</v>
      </c>
      <c r="J250" s="130">
        <f t="shared" si="170"/>
        <v>0.65267501124343297</v>
      </c>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row>
    <row r="251" spans="1:57">
      <c r="A251" s="227" t="s">
        <v>17</v>
      </c>
      <c r="B251" s="227" t="str">
        <f>B248</f>
        <v>hhd-le</v>
      </c>
      <c r="C251" s="228" t="s">
        <v>463</v>
      </c>
      <c r="D251" s="130">
        <f t="shared" ref="D251:J251" si="172">SUM(E115:E117)/SUM(E$127:E$129)</f>
        <v>0.58153825140737248</v>
      </c>
      <c r="E251" s="130">
        <f t="shared" si="172"/>
        <v>0.53585678325959918</v>
      </c>
      <c r="F251" s="130">
        <f>SUM(H115:H117)/SUM(H$127:H$129)</f>
        <v>0.51113965712076015</v>
      </c>
      <c r="G251" s="130">
        <f>SUM(I115:I117)/SUM(I$127:I$129)</f>
        <v>0.45917782586580475</v>
      </c>
      <c r="H251" s="130">
        <f t="shared" ref="H251:I251" si="173">SUM(J115:J117)/SUM(J$127:J$129)</f>
        <v>0.4037091908569504</v>
      </c>
      <c r="I251" s="130">
        <f t="shared" si="173"/>
        <v>0.3614335071394737</v>
      </c>
      <c r="J251" s="130">
        <f t="shared" si="172"/>
        <v>0.3614335071394737</v>
      </c>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row>
    <row r="252" spans="1:57">
      <c r="A252" s="227" t="s">
        <v>17</v>
      </c>
      <c r="B252" s="227" t="str">
        <f>B249</f>
        <v>hhd-me</v>
      </c>
      <c r="C252" s="228" t="s">
        <v>463</v>
      </c>
      <c r="D252" s="130">
        <f t="shared" ref="D252:J252" si="174">SUM(E119:E121)/SUM(E$127:E$129)</f>
        <v>0.30436734291999396</v>
      </c>
      <c r="E252" s="130">
        <f t="shared" si="174"/>
        <v>0.31601000767096959</v>
      </c>
      <c r="F252" s="130">
        <f>SUM(H119:H121)/SUM(H$127:H$129)</f>
        <v>0.32812629955201122</v>
      </c>
      <c r="G252" s="130">
        <f>SUM(I119:I121)/SUM(I$127:I$129)</f>
        <v>0.35677819526796856</v>
      </c>
      <c r="H252" s="130">
        <f t="shared" ref="H252:I252" si="175">SUM(J119:J121)/SUM(J$127:J$129)</f>
        <v>0.38976483091444619</v>
      </c>
      <c r="I252" s="130">
        <f t="shared" si="175"/>
        <v>0.41634920333618597</v>
      </c>
      <c r="J252" s="130">
        <f t="shared" si="174"/>
        <v>0.41634920333618597</v>
      </c>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row>
    <row r="253" spans="1:57">
      <c r="A253" s="227" t="s">
        <v>17</v>
      </c>
      <c r="B253" s="227" t="str">
        <f>B250</f>
        <v>hhd-he</v>
      </c>
      <c r="C253" s="228" t="s">
        <v>463</v>
      </c>
      <c r="D253" s="130">
        <f t="shared" ref="D253:J253" si="176">SUM(E123:E125)/SUM(E$127:E$129)</f>
        <v>0.11409440567263367</v>
      </c>
      <c r="E253" s="130">
        <f t="shared" si="176"/>
        <v>0.14813320906943123</v>
      </c>
      <c r="F253" s="130">
        <f>SUM(H123:H125)/SUM(H$127:H$129)</f>
        <v>0.16073404332722868</v>
      </c>
      <c r="G253" s="130">
        <f>SUM(I123:I125)/SUM(I$127:I$129)</f>
        <v>0.18404397886622662</v>
      </c>
      <c r="H253" s="130">
        <f t="shared" ref="H253:I253" si="177">SUM(J123:J125)/SUM(J$127:J$129)</f>
        <v>0.20652597822860333</v>
      </c>
      <c r="I253" s="130">
        <f t="shared" si="177"/>
        <v>0.22221728952434044</v>
      </c>
      <c r="J253" s="130">
        <f t="shared" si="176"/>
        <v>0.22221728952434044</v>
      </c>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row>
    <row r="254" spans="1:57">
      <c r="A254" s="227" t="s">
        <v>17</v>
      </c>
      <c r="H254" s="5" t="s">
        <v>462</v>
      </c>
      <c r="K254" s="227">
        <f t="shared" ref="K254:AS254" si="178">J227</f>
        <v>2012</v>
      </c>
      <c r="L254" s="227">
        <f t="shared" si="178"/>
        <v>2013</v>
      </c>
      <c r="M254" s="227">
        <f t="shared" si="178"/>
        <v>2014</v>
      </c>
      <c r="N254" s="227">
        <f t="shared" si="178"/>
        <v>2015</v>
      </c>
      <c r="O254" s="227">
        <f t="shared" si="178"/>
        <v>2016</v>
      </c>
      <c r="P254" s="227">
        <f t="shared" si="178"/>
        <v>2017</v>
      </c>
      <c r="Q254" s="227">
        <f t="shared" si="178"/>
        <v>2018</v>
      </c>
      <c r="R254" s="227">
        <f t="shared" si="178"/>
        <v>2019</v>
      </c>
      <c r="S254" s="227">
        <f t="shared" si="178"/>
        <v>2020</v>
      </c>
      <c r="T254" s="227">
        <f t="shared" si="178"/>
        <v>2021</v>
      </c>
      <c r="U254" s="227">
        <f t="shared" si="178"/>
        <v>2022</v>
      </c>
      <c r="V254" s="227">
        <f t="shared" si="178"/>
        <v>2023</v>
      </c>
      <c r="W254" s="227">
        <f t="shared" si="178"/>
        <v>2024</v>
      </c>
      <c r="X254" s="227">
        <f t="shared" si="178"/>
        <v>2025</v>
      </c>
      <c r="Y254" s="227">
        <f t="shared" si="178"/>
        <v>2026</v>
      </c>
      <c r="Z254" s="227">
        <f t="shared" si="178"/>
        <v>2027</v>
      </c>
      <c r="AA254" s="227">
        <f t="shared" si="178"/>
        <v>2028</v>
      </c>
      <c r="AB254" s="227">
        <f t="shared" si="178"/>
        <v>2029</v>
      </c>
      <c r="AC254" s="227">
        <f t="shared" si="178"/>
        <v>2030</v>
      </c>
      <c r="AD254" s="227">
        <f t="shared" si="178"/>
        <v>2031</v>
      </c>
      <c r="AE254" s="227">
        <f t="shared" si="178"/>
        <v>2032</v>
      </c>
      <c r="AF254" s="227">
        <f t="shared" si="178"/>
        <v>2033</v>
      </c>
      <c r="AG254" s="227">
        <f t="shared" si="178"/>
        <v>2034</v>
      </c>
      <c r="AH254" s="227">
        <f t="shared" si="178"/>
        <v>2035</v>
      </c>
      <c r="AI254" s="227">
        <f t="shared" si="178"/>
        <v>2036</v>
      </c>
      <c r="AJ254" s="227">
        <f t="shared" si="178"/>
        <v>2037</v>
      </c>
      <c r="AK254" s="227">
        <f t="shared" si="178"/>
        <v>2038</v>
      </c>
      <c r="AL254" s="227">
        <f t="shared" si="178"/>
        <v>2039</v>
      </c>
      <c r="AM254" s="227">
        <f t="shared" si="178"/>
        <v>2040</v>
      </c>
      <c r="AN254" s="227">
        <f t="shared" si="178"/>
        <v>2041</v>
      </c>
      <c r="AO254" s="227">
        <f t="shared" si="178"/>
        <v>2042</v>
      </c>
      <c r="AP254" s="227">
        <f t="shared" si="178"/>
        <v>2043</v>
      </c>
      <c r="AQ254" s="227">
        <f t="shared" si="178"/>
        <v>2044</v>
      </c>
      <c r="AR254" s="227">
        <f t="shared" si="178"/>
        <v>2045</v>
      </c>
      <c r="AS254" s="227">
        <f t="shared" si="178"/>
        <v>2046</v>
      </c>
      <c r="AT254" s="227">
        <f>AS254+1</f>
        <v>2047</v>
      </c>
      <c r="AU254" s="227">
        <f t="shared" ref="AU254:BC254" si="179">AT254+1</f>
        <v>2048</v>
      </c>
      <c r="AV254" s="227">
        <f t="shared" si="179"/>
        <v>2049</v>
      </c>
      <c r="AW254" s="227">
        <f t="shared" si="179"/>
        <v>2050</v>
      </c>
      <c r="AX254" s="227">
        <f t="shared" si="179"/>
        <v>2051</v>
      </c>
      <c r="AY254" s="227">
        <f t="shared" si="179"/>
        <v>2052</v>
      </c>
      <c r="AZ254" s="227">
        <f t="shared" si="179"/>
        <v>2053</v>
      </c>
      <c r="BA254" s="227">
        <f t="shared" si="179"/>
        <v>2054</v>
      </c>
      <c r="BB254" s="227">
        <f t="shared" si="179"/>
        <v>2055</v>
      </c>
      <c r="BC254" s="227">
        <f t="shared" si="179"/>
        <v>2056</v>
      </c>
      <c r="BD254" s="227">
        <v>2060</v>
      </c>
      <c r="BE254" s="227">
        <v>2070</v>
      </c>
    </row>
    <row r="255" spans="1:57">
      <c r="A255" s="227" t="s">
        <v>17</v>
      </c>
      <c r="F255" s="227" t="s">
        <v>465</v>
      </c>
      <c r="G255" s="227" t="s">
        <v>465</v>
      </c>
      <c r="H255" s="227" t="s">
        <v>459</v>
      </c>
      <c r="I255" s="228" t="s">
        <v>464</v>
      </c>
      <c r="J255" s="227" t="s">
        <v>282</v>
      </c>
      <c r="K255" s="228">
        <f t="shared" ref="K255:K260" si="180">D248</f>
        <v>8.650408805165757E-3</v>
      </c>
      <c r="L255" s="228">
        <f t="shared" ref="L255:AR260" si="181">IF(L$247=-1,M255,IF(L$247=99,K255,IF(L$247=0,INDEX($D248:$J248,0,L$245),(INDEX($D248:$J248,0,L$247+1)-INDEX($D248:$J248,0,L$247))/(INDEX($D$244:$J$244,0,L$247+1)-INDEX($D$244:$J$244,0,L$247))+K255)))</f>
        <v>8.9598598475938516E-3</v>
      </c>
      <c r="M255" s="228">
        <f t="shared" si="181"/>
        <v>9.2693108900219461E-3</v>
      </c>
      <c r="N255" s="228">
        <f t="shared" si="181"/>
        <v>9.5787619324500389E-3</v>
      </c>
      <c r="O255" s="228">
        <f t="shared" si="181"/>
        <v>9.3585838286519597E-3</v>
      </c>
      <c r="P255" s="228">
        <f t="shared" si="181"/>
        <v>9.1384057248538805E-3</v>
      </c>
      <c r="Q255" s="228">
        <f t="shared" si="181"/>
        <v>8.9182276210558013E-3</v>
      </c>
      <c r="R255" s="228">
        <f t="shared" si="181"/>
        <v>8.6980495172577221E-3</v>
      </c>
      <c r="S255" s="228">
        <f t="shared" si="181"/>
        <v>8.4778714134596395E-3</v>
      </c>
      <c r="T255" s="228">
        <f t="shared" si="181"/>
        <v>8.3087235709533563E-3</v>
      </c>
      <c r="U255" s="228">
        <f t="shared" si="181"/>
        <v>8.1395757284470731E-3</v>
      </c>
      <c r="V255" s="228">
        <f t="shared" si="181"/>
        <v>7.9704278859407899E-3</v>
      </c>
      <c r="W255" s="228">
        <f t="shared" si="181"/>
        <v>7.8012800434345058E-3</v>
      </c>
      <c r="X255" s="228">
        <f t="shared" si="181"/>
        <v>7.6321322009282218E-3</v>
      </c>
      <c r="Y255" s="228">
        <f t="shared" si="181"/>
        <v>7.4629843584219377E-3</v>
      </c>
      <c r="Z255" s="228">
        <f t="shared" si="181"/>
        <v>7.2938365159156537E-3</v>
      </c>
      <c r="AA255" s="228">
        <f t="shared" si="181"/>
        <v>7.1246886734093696E-3</v>
      </c>
      <c r="AB255" s="228">
        <f t="shared" si="181"/>
        <v>6.9555408309030856E-3</v>
      </c>
      <c r="AC255" s="228">
        <f t="shared" si="181"/>
        <v>6.7863929883967998E-3</v>
      </c>
      <c r="AD255" s="228">
        <f t="shared" si="181"/>
        <v>6.6411360869326743E-3</v>
      </c>
      <c r="AE255" s="228">
        <f t="shared" si="181"/>
        <v>6.4958791854685489E-3</v>
      </c>
      <c r="AF255" s="228">
        <f t="shared" si="181"/>
        <v>6.3506222840044235E-3</v>
      </c>
      <c r="AG255" s="228">
        <f t="shared" si="181"/>
        <v>6.2053653825402981E-3</v>
      </c>
      <c r="AH255" s="228">
        <f t="shared" si="181"/>
        <v>6.0601084810761726E-3</v>
      </c>
      <c r="AI255" s="228">
        <f t="shared" si="181"/>
        <v>5.9148515796120472E-3</v>
      </c>
      <c r="AJ255" s="228">
        <f t="shared" si="181"/>
        <v>5.7695946781479218E-3</v>
      </c>
      <c r="AK255" s="228">
        <f t="shared" si="181"/>
        <v>5.6243377766837964E-3</v>
      </c>
      <c r="AL255" s="228">
        <f t="shared" si="181"/>
        <v>5.4790808752196709E-3</v>
      </c>
      <c r="AM255" s="228">
        <f t="shared" si="181"/>
        <v>5.333823973755549E-3</v>
      </c>
      <c r="AN255" s="228">
        <f t="shared" si="181"/>
        <v>5.2402407113325764E-3</v>
      </c>
      <c r="AO255" s="228">
        <f t="shared" si="181"/>
        <v>5.1466574489096037E-3</v>
      </c>
      <c r="AP255" s="228">
        <f t="shared" si="181"/>
        <v>5.0530741864866311E-3</v>
      </c>
      <c r="AQ255" s="228">
        <f t="shared" si="181"/>
        <v>4.9594909240636585E-3</v>
      </c>
      <c r="AR255" s="228">
        <f t="shared" si="181"/>
        <v>4.8659076616406859E-3</v>
      </c>
      <c r="AS255" s="228">
        <f t="shared" ref="AS255:AX260" si="182">IF(AS$247=-1,AX255,IF(AS$247=99,AR255,IF(AS$247=0,INDEX($D248:$J248,0,AS$245),(INDEX($D248:$J248,0,AS$247+1)-INDEX($D248:$J248,0,AS$247))/(INDEX($D$244:$J$244,0,AS$247+1)-INDEX($D$244:$J$244,0,AS$247))+AR255)))</f>
        <v>4.7723243992177132E-3</v>
      </c>
      <c r="AT255" s="228">
        <f t="shared" si="182"/>
        <v>4.6787411367947406E-3</v>
      </c>
      <c r="AU255" s="228">
        <f t="shared" si="182"/>
        <v>4.585157874371768E-3</v>
      </c>
      <c r="AV255" s="228">
        <f t="shared" si="182"/>
        <v>4.4915746119487954E-3</v>
      </c>
      <c r="AW255" s="228">
        <f t="shared" si="182"/>
        <v>4.3979913495258227E-3</v>
      </c>
      <c r="AX255" s="228">
        <f t="shared" si="182"/>
        <v>4.3979913495258227E-3</v>
      </c>
      <c r="AY255" s="228">
        <f t="shared" ref="AY255:BE260" si="183">IF(AU$247=-1,BA255,IF(AU$247=99,AX255,IF(AU$247=0,INDEX($D248:$J248,0,AU$245),(INDEX($D248:$J248,0,AU$247+1)-INDEX($D248:$J248,0,AU$247))/(INDEX($D$244:$J$244,0,AU$247+1)-INDEX($D$244:$J$244,0,AU$247))+AX255)))</f>
        <v>4.3044080871028501E-3</v>
      </c>
      <c r="AZ255" s="228">
        <f t="shared" si="183"/>
        <v>4.2108248246798775E-3</v>
      </c>
      <c r="BA255" s="228">
        <f t="shared" si="183"/>
        <v>4.3979913495258227E-3</v>
      </c>
      <c r="BB255" s="228">
        <f t="shared" si="183"/>
        <v>4.3979913495258227E-3</v>
      </c>
      <c r="BC255" s="228">
        <f t="shared" si="183"/>
        <v>4.3979913495258227E-3</v>
      </c>
      <c r="BD255" s="228">
        <f t="shared" si="183"/>
        <v>4.3979913495258227E-3</v>
      </c>
      <c r="BE255" s="228">
        <f t="shared" si="183"/>
        <v>4.3979913495258227E-3</v>
      </c>
    </row>
    <row r="256" spans="1:57">
      <c r="A256" s="227" t="s">
        <v>17</v>
      </c>
      <c r="F256" s="227" t="s">
        <v>465</v>
      </c>
      <c r="G256" s="227" t="s">
        <v>465</v>
      </c>
      <c r="H256" s="227" t="s">
        <v>460</v>
      </c>
      <c r="I256" s="228" t="s">
        <v>464</v>
      </c>
      <c r="J256" s="227" t="s">
        <v>283</v>
      </c>
      <c r="K256" s="228">
        <f t="shared" si="180"/>
        <v>0.34745330485526793</v>
      </c>
      <c r="L256" s="228">
        <f t="shared" si="181"/>
        <v>0.34417328413563342</v>
      </c>
      <c r="M256" s="228">
        <f t="shared" si="181"/>
        <v>0.3408932634159989</v>
      </c>
      <c r="N256" s="228">
        <f t="shared" si="181"/>
        <v>0.33761324269636439</v>
      </c>
      <c r="O256" s="228">
        <f t="shared" si="181"/>
        <v>0.3351739695469389</v>
      </c>
      <c r="P256" s="228">
        <f t="shared" si="181"/>
        <v>0.33273469639751341</v>
      </c>
      <c r="Q256" s="228">
        <f t="shared" si="181"/>
        <v>0.33029542324808792</v>
      </c>
      <c r="R256" s="228">
        <f t="shared" si="181"/>
        <v>0.32785615009866242</v>
      </c>
      <c r="S256" s="228">
        <f t="shared" si="181"/>
        <v>0.32541687694923704</v>
      </c>
      <c r="T256" s="228">
        <f t="shared" si="181"/>
        <v>0.32426861476291041</v>
      </c>
      <c r="U256" s="228">
        <f t="shared" si="181"/>
        <v>0.32312035257658378</v>
      </c>
      <c r="V256" s="228">
        <f t="shared" si="181"/>
        <v>0.32197209039025715</v>
      </c>
      <c r="W256" s="228">
        <f t="shared" si="181"/>
        <v>0.32082382820393052</v>
      </c>
      <c r="X256" s="228">
        <f t="shared" si="181"/>
        <v>0.31967556601760388</v>
      </c>
      <c r="Y256" s="228">
        <f t="shared" si="181"/>
        <v>0.31852730383127725</v>
      </c>
      <c r="Z256" s="228">
        <f t="shared" si="181"/>
        <v>0.31737904164495062</v>
      </c>
      <c r="AA256" s="228">
        <f t="shared" si="181"/>
        <v>0.31623077945862399</v>
      </c>
      <c r="AB256" s="228">
        <f t="shared" si="181"/>
        <v>0.31508251727229736</v>
      </c>
      <c r="AC256" s="228">
        <f t="shared" si="181"/>
        <v>0.31393425508597056</v>
      </c>
      <c r="AD256" s="228">
        <f t="shared" si="181"/>
        <v>0.31298997844879595</v>
      </c>
      <c r="AE256" s="228">
        <f t="shared" si="181"/>
        <v>0.31204570181162133</v>
      </c>
      <c r="AF256" s="228">
        <f t="shared" si="181"/>
        <v>0.31110142517444672</v>
      </c>
      <c r="AG256" s="228">
        <f t="shared" si="181"/>
        <v>0.31015714853727211</v>
      </c>
      <c r="AH256" s="228">
        <f t="shared" si="181"/>
        <v>0.3092128719000975</v>
      </c>
      <c r="AI256" s="228">
        <f t="shared" si="181"/>
        <v>0.30826859526292288</v>
      </c>
      <c r="AJ256" s="228">
        <f t="shared" si="181"/>
        <v>0.30732431862574827</v>
      </c>
      <c r="AK256" s="228">
        <f t="shared" si="181"/>
        <v>0.30638004198857366</v>
      </c>
      <c r="AL256" s="228">
        <f t="shared" si="181"/>
        <v>0.30543576535139905</v>
      </c>
      <c r="AM256" s="228">
        <f t="shared" si="181"/>
        <v>0.30449148871422421</v>
      </c>
      <c r="AN256" s="228">
        <f t="shared" si="181"/>
        <v>0.30380450269188786</v>
      </c>
      <c r="AO256" s="228">
        <f t="shared" si="181"/>
        <v>0.3031175166695515</v>
      </c>
      <c r="AP256" s="228">
        <f t="shared" si="181"/>
        <v>0.30243053064721515</v>
      </c>
      <c r="AQ256" s="228">
        <f t="shared" si="181"/>
        <v>0.30174354462487879</v>
      </c>
      <c r="AR256" s="228">
        <f t="shared" si="181"/>
        <v>0.30105655860254243</v>
      </c>
      <c r="AS256" s="228">
        <f t="shared" si="182"/>
        <v>0.30036957258020608</v>
      </c>
      <c r="AT256" s="228">
        <f t="shared" si="182"/>
        <v>0.29968258655786972</v>
      </c>
      <c r="AU256" s="228">
        <f t="shared" si="182"/>
        <v>0.29899560053553337</v>
      </c>
      <c r="AV256" s="228">
        <f t="shared" si="182"/>
        <v>0.29830861451319701</v>
      </c>
      <c r="AW256" s="228">
        <f t="shared" si="182"/>
        <v>0.29762162849086055</v>
      </c>
      <c r="AX256" s="228">
        <f t="shared" si="182"/>
        <v>0.29762162849086055</v>
      </c>
      <c r="AY256" s="228">
        <f t="shared" si="183"/>
        <v>0.29693464246852419</v>
      </c>
      <c r="AZ256" s="228">
        <f t="shared" si="183"/>
        <v>0.29624765644618783</v>
      </c>
      <c r="BA256" s="228">
        <f t="shared" si="183"/>
        <v>0.29762162849086055</v>
      </c>
      <c r="BB256" s="228">
        <f t="shared" si="183"/>
        <v>0.29762162849086055</v>
      </c>
      <c r="BC256" s="228">
        <f t="shared" si="183"/>
        <v>0.29762162849086055</v>
      </c>
      <c r="BD256" s="228">
        <f t="shared" si="183"/>
        <v>0.29762162849086055</v>
      </c>
      <c r="BE256" s="228">
        <f t="shared" si="183"/>
        <v>0.29762162849086055</v>
      </c>
    </row>
    <row r="257" spans="1:57">
      <c r="A257" s="227" t="s">
        <v>17</v>
      </c>
      <c r="F257" s="227" t="s">
        <v>465</v>
      </c>
      <c r="G257" s="227" t="s">
        <v>465</v>
      </c>
      <c r="H257" s="227" t="s">
        <v>461</v>
      </c>
      <c r="I257" s="228" t="s">
        <v>464</v>
      </c>
      <c r="J257" s="227" t="s">
        <v>284</v>
      </c>
      <c r="K257" s="228">
        <f t="shared" si="180"/>
        <v>0.58821572626768825</v>
      </c>
      <c r="L257" s="228">
        <f t="shared" si="181"/>
        <v>0.58827570302924015</v>
      </c>
      <c r="M257" s="228">
        <f t="shared" si="181"/>
        <v>0.58833567979079204</v>
      </c>
      <c r="N257" s="228">
        <f t="shared" si="181"/>
        <v>0.58839565655234405</v>
      </c>
      <c r="O257" s="228">
        <f t="shared" si="181"/>
        <v>0.59210901324107912</v>
      </c>
      <c r="P257" s="228">
        <f t="shared" si="181"/>
        <v>0.59582236992981419</v>
      </c>
      <c r="Q257" s="228">
        <f t="shared" si="181"/>
        <v>0.59953572661854926</v>
      </c>
      <c r="R257" s="228">
        <f t="shared" si="181"/>
        <v>0.60324908330728433</v>
      </c>
      <c r="S257" s="228">
        <f t="shared" si="181"/>
        <v>0.60696243999601929</v>
      </c>
      <c r="T257" s="228">
        <f t="shared" si="181"/>
        <v>0.60881415168504094</v>
      </c>
      <c r="U257" s="228">
        <f t="shared" si="181"/>
        <v>0.61066586337406248</v>
      </c>
      <c r="V257" s="228">
        <f t="shared" si="181"/>
        <v>0.61251757506308402</v>
      </c>
      <c r="W257" s="228">
        <f t="shared" si="181"/>
        <v>0.61436928675210556</v>
      </c>
      <c r="X257" s="228">
        <f t="shared" si="181"/>
        <v>0.6162209984411271</v>
      </c>
      <c r="Y257" s="228">
        <f t="shared" si="181"/>
        <v>0.61807271013014864</v>
      </c>
      <c r="Z257" s="228">
        <f t="shared" si="181"/>
        <v>0.61992442181917018</v>
      </c>
      <c r="AA257" s="228">
        <f t="shared" si="181"/>
        <v>0.62177613350819172</v>
      </c>
      <c r="AB257" s="228">
        <f t="shared" si="181"/>
        <v>0.62362784519721326</v>
      </c>
      <c r="AC257" s="228">
        <f t="shared" si="181"/>
        <v>0.62547955688623524</v>
      </c>
      <c r="AD257" s="228">
        <f t="shared" si="181"/>
        <v>0.62699754281530795</v>
      </c>
      <c r="AE257" s="228">
        <f t="shared" si="181"/>
        <v>0.62851552874438066</v>
      </c>
      <c r="AF257" s="228">
        <f t="shared" si="181"/>
        <v>0.63003351467345337</v>
      </c>
      <c r="AG257" s="228">
        <f t="shared" si="181"/>
        <v>0.63155150060252607</v>
      </c>
      <c r="AH257" s="228">
        <f t="shared" si="181"/>
        <v>0.63306948653159878</v>
      </c>
      <c r="AI257" s="228">
        <f t="shared" si="181"/>
        <v>0.63458747246067149</v>
      </c>
      <c r="AJ257" s="228">
        <f t="shared" si="181"/>
        <v>0.63610545838974419</v>
      </c>
      <c r="AK257" s="228">
        <f t="shared" si="181"/>
        <v>0.6376234443188169</v>
      </c>
      <c r="AL257" s="228">
        <f t="shared" si="181"/>
        <v>0.63914143024788961</v>
      </c>
      <c r="AM257" s="228">
        <f t="shared" si="181"/>
        <v>0.64065941617696276</v>
      </c>
      <c r="AN257" s="228">
        <f t="shared" si="181"/>
        <v>0.64186097568360978</v>
      </c>
      <c r="AO257" s="228">
        <f t="shared" si="181"/>
        <v>0.6430625351902568</v>
      </c>
      <c r="AP257" s="228">
        <f t="shared" si="181"/>
        <v>0.64426409469690382</v>
      </c>
      <c r="AQ257" s="228">
        <f t="shared" si="181"/>
        <v>0.64546565420355084</v>
      </c>
      <c r="AR257" s="228">
        <f t="shared" si="181"/>
        <v>0.64666721371019786</v>
      </c>
      <c r="AS257" s="228">
        <f t="shared" si="182"/>
        <v>0.64786877321684488</v>
      </c>
      <c r="AT257" s="228">
        <f t="shared" si="182"/>
        <v>0.64907033272349191</v>
      </c>
      <c r="AU257" s="228">
        <f t="shared" si="182"/>
        <v>0.65027189223013893</v>
      </c>
      <c r="AV257" s="228">
        <f t="shared" si="182"/>
        <v>0.65147345173678595</v>
      </c>
      <c r="AW257" s="228">
        <f t="shared" si="182"/>
        <v>0.65267501124343297</v>
      </c>
      <c r="AX257" s="228">
        <f t="shared" si="182"/>
        <v>0.65267501124343297</v>
      </c>
      <c r="AY257" s="228">
        <f t="shared" si="183"/>
        <v>0.65387657075007999</v>
      </c>
      <c r="AZ257" s="228">
        <f t="shared" si="183"/>
        <v>0.65507813025672701</v>
      </c>
      <c r="BA257" s="228">
        <f t="shared" si="183"/>
        <v>0.65267501124343297</v>
      </c>
      <c r="BB257" s="228">
        <f t="shared" si="183"/>
        <v>0.65267501124343297</v>
      </c>
      <c r="BC257" s="228">
        <f t="shared" si="183"/>
        <v>0.65267501124343297</v>
      </c>
      <c r="BD257" s="228">
        <f t="shared" si="183"/>
        <v>0.65267501124343297</v>
      </c>
      <c r="BE257" s="228">
        <f t="shared" si="183"/>
        <v>0.65267501124343297</v>
      </c>
    </row>
    <row r="258" spans="1:57">
      <c r="A258" s="227" t="s">
        <v>17</v>
      </c>
      <c r="F258" s="227" t="s">
        <v>466</v>
      </c>
      <c r="G258" s="227" t="s">
        <v>466</v>
      </c>
      <c r="H258" s="227" t="str">
        <f>H255</f>
        <v>low income</v>
      </c>
      <c r="I258" s="228" t="s">
        <v>463</v>
      </c>
      <c r="J258" s="227" t="str">
        <f>J255</f>
        <v>hhd-le</v>
      </c>
      <c r="K258" s="228">
        <f t="shared" si="180"/>
        <v>0.58153825140737248</v>
      </c>
      <c r="L258" s="228">
        <f t="shared" si="181"/>
        <v>0.56631109535811475</v>
      </c>
      <c r="M258" s="228">
        <f t="shared" si="181"/>
        <v>0.55108393930885702</v>
      </c>
      <c r="N258" s="228">
        <f t="shared" si="181"/>
        <v>0.53585678325959918</v>
      </c>
      <c r="O258" s="228">
        <f t="shared" si="181"/>
        <v>0.53091335803183137</v>
      </c>
      <c r="P258" s="228">
        <f t="shared" si="181"/>
        <v>0.52596993280406357</v>
      </c>
      <c r="Q258" s="228">
        <f t="shared" si="181"/>
        <v>0.52102650757629576</v>
      </c>
      <c r="R258" s="228">
        <f t="shared" si="181"/>
        <v>0.51608308234852796</v>
      </c>
      <c r="S258" s="228">
        <f t="shared" si="181"/>
        <v>0.51113965712076015</v>
      </c>
      <c r="T258" s="228">
        <f t="shared" si="181"/>
        <v>0.50594347399526463</v>
      </c>
      <c r="U258" s="228">
        <f t="shared" si="181"/>
        <v>0.5007472908697691</v>
      </c>
      <c r="V258" s="228">
        <f t="shared" si="181"/>
        <v>0.49555110774427358</v>
      </c>
      <c r="W258" s="228">
        <f t="shared" si="181"/>
        <v>0.49035492461877805</v>
      </c>
      <c r="X258" s="228">
        <f t="shared" si="181"/>
        <v>0.48515874149328253</v>
      </c>
      <c r="Y258" s="228">
        <f t="shared" si="181"/>
        <v>0.47996255836778701</v>
      </c>
      <c r="Z258" s="228">
        <f t="shared" si="181"/>
        <v>0.47476637524229148</v>
      </c>
      <c r="AA258" s="228">
        <f t="shared" si="181"/>
        <v>0.46957019211679596</v>
      </c>
      <c r="AB258" s="228">
        <f t="shared" si="181"/>
        <v>0.46437400899130044</v>
      </c>
      <c r="AC258" s="228">
        <f t="shared" si="181"/>
        <v>0.45917782586580475</v>
      </c>
      <c r="AD258" s="228">
        <f t="shared" si="181"/>
        <v>0.45363096236491929</v>
      </c>
      <c r="AE258" s="228">
        <f t="shared" si="181"/>
        <v>0.44808409886403383</v>
      </c>
      <c r="AF258" s="228">
        <f t="shared" si="181"/>
        <v>0.44253723536314837</v>
      </c>
      <c r="AG258" s="228">
        <f t="shared" si="181"/>
        <v>0.43699037186226292</v>
      </c>
      <c r="AH258" s="228">
        <f t="shared" si="181"/>
        <v>0.43144350836137746</v>
      </c>
      <c r="AI258" s="228">
        <f t="shared" si="181"/>
        <v>0.425896644860492</v>
      </c>
      <c r="AJ258" s="228">
        <f t="shared" si="181"/>
        <v>0.42034978135960654</v>
      </c>
      <c r="AK258" s="228">
        <f t="shared" si="181"/>
        <v>0.41480291785872109</v>
      </c>
      <c r="AL258" s="228">
        <f t="shared" si="181"/>
        <v>0.40925605435783563</v>
      </c>
      <c r="AM258" s="228">
        <f t="shared" si="181"/>
        <v>0.4037091908569504</v>
      </c>
      <c r="AN258" s="228">
        <f t="shared" si="181"/>
        <v>0.39948162248520275</v>
      </c>
      <c r="AO258" s="228">
        <f t="shared" si="181"/>
        <v>0.3952540541134551</v>
      </c>
      <c r="AP258" s="228">
        <f t="shared" si="181"/>
        <v>0.39102648574170745</v>
      </c>
      <c r="AQ258" s="228">
        <f t="shared" si="181"/>
        <v>0.3867989173699598</v>
      </c>
      <c r="AR258" s="228">
        <f t="shared" si="181"/>
        <v>0.38257134899821216</v>
      </c>
      <c r="AS258" s="228">
        <f t="shared" si="182"/>
        <v>0.37834378062646451</v>
      </c>
      <c r="AT258" s="228">
        <f t="shared" si="182"/>
        <v>0.37411621225471686</v>
      </c>
      <c r="AU258" s="228">
        <f t="shared" si="182"/>
        <v>0.36988864388296921</v>
      </c>
      <c r="AV258" s="228">
        <f t="shared" si="182"/>
        <v>0.36566107551122157</v>
      </c>
      <c r="AW258" s="228">
        <f t="shared" si="182"/>
        <v>0.3614335071394737</v>
      </c>
      <c r="AX258" s="228">
        <f t="shared" si="182"/>
        <v>0.3614335071394737</v>
      </c>
      <c r="AY258" s="228">
        <f t="shared" si="183"/>
        <v>0.35720593876772605</v>
      </c>
      <c r="AZ258" s="228">
        <f t="shared" si="183"/>
        <v>0.3529783703959784</v>
      </c>
      <c r="BA258" s="228">
        <f t="shared" si="183"/>
        <v>0.3614335071394737</v>
      </c>
      <c r="BB258" s="228">
        <f t="shared" si="183"/>
        <v>0.3614335071394737</v>
      </c>
      <c r="BC258" s="228">
        <f t="shared" si="183"/>
        <v>0.3614335071394737</v>
      </c>
      <c r="BD258" s="228">
        <f t="shared" si="183"/>
        <v>0.3614335071394737</v>
      </c>
      <c r="BE258" s="228">
        <f t="shared" si="183"/>
        <v>0.3614335071394737</v>
      </c>
    </row>
    <row r="259" spans="1:57">
      <c r="A259" s="227" t="s">
        <v>17</v>
      </c>
      <c r="F259" s="227" t="s">
        <v>466</v>
      </c>
      <c r="G259" s="227" t="s">
        <v>466</v>
      </c>
      <c r="H259" s="227" t="str">
        <f>H256</f>
        <v>medium income</v>
      </c>
      <c r="I259" s="228" t="s">
        <v>463</v>
      </c>
      <c r="J259" s="227" t="str">
        <f>J256</f>
        <v>hhd-me</v>
      </c>
      <c r="K259" s="228">
        <f t="shared" si="180"/>
        <v>0.30436734291999396</v>
      </c>
      <c r="L259" s="228">
        <f t="shared" si="181"/>
        <v>0.30824823117031919</v>
      </c>
      <c r="M259" s="228">
        <f t="shared" si="181"/>
        <v>0.31212911942064442</v>
      </c>
      <c r="N259" s="228">
        <f t="shared" si="181"/>
        <v>0.31601000767096959</v>
      </c>
      <c r="O259" s="228">
        <f t="shared" si="181"/>
        <v>0.31843326604717792</v>
      </c>
      <c r="P259" s="228">
        <f t="shared" si="181"/>
        <v>0.32085652442338625</v>
      </c>
      <c r="Q259" s="228">
        <f t="shared" si="181"/>
        <v>0.32327978279959457</v>
      </c>
      <c r="R259" s="228">
        <f t="shared" si="181"/>
        <v>0.3257030411758029</v>
      </c>
      <c r="S259" s="228">
        <f t="shared" si="181"/>
        <v>0.32812629955201122</v>
      </c>
      <c r="T259" s="228">
        <f t="shared" si="181"/>
        <v>0.33099148912360699</v>
      </c>
      <c r="U259" s="228">
        <f t="shared" si="181"/>
        <v>0.33385667869520275</v>
      </c>
      <c r="V259" s="228">
        <f t="shared" si="181"/>
        <v>0.33672186826679851</v>
      </c>
      <c r="W259" s="228">
        <f t="shared" si="181"/>
        <v>0.33958705783839427</v>
      </c>
      <c r="X259" s="228">
        <f t="shared" si="181"/>
        <v>0.34245224740999003</v>
      </c>
      <c r="Y259" s="228">
        <f t="shared" si="181"/>
        <v>0.34531743698158579</v>
      </c>
      <c r="Z259" s="228">
        <f t="shared" si="181"/>
        <v>0.34818262655318155</v>
      </c>
      <c r="AA259" s="228">
        <f t="shared" si="181"/>
        <v>0.35104781612477731</v>
      </c>
      <c r="AB259" s="228">
        <f t="shared" si="181"/>
        <v>0.35391300569637307</v>
      </c>
      <c r="AC259" s="228">
        <f t="shared" si="181"/>
        <v>0.35677819526796856</v>
      </c>
      <c r="AD259" s="228">
        <f t="shared" si="181"/>
        <v>0.36007685883261631</v>
      </c>
      <c r="AE259" s="228">
        <f t="shared" si="181"/>
        <v>0.36337552239726406</v>
      </c>
      <c r="AF259" s="228">
        <f t="shared" si="181"/>
        <v>0.36667418596191181</v>
      </c>
      <c r="AG259" s="228">
        <f t="shared" si="181"/>
        <v>0.36997284952655957</v>
      </c>
      <c r="AH259" s="228">
        <f t="shared" si="181"/>
        <v>0.37327151309120732</v>
      </c>
      <c r="AI259" s="228">
        <f t="shared" si="181"/>
        <v>0.37657017665585507</v>
      </c>
      <c r="AJ259" s="228">
        <f t="shared" si="181"/>
        <v>0.37986884022050282</v>
      </c>
      <c r="AK259" s="228">
        <f t="shared" si="181"/>
        <v>0.38316750378515058</v>
      </c>
      <c r="AL259" s="228">
        <f t="shared" si="181"/>
        <v>0.38646616734979833</v>
      </c>
      <c r="AM259" s="228">
        <f t="shared" si="181"/>
        <v>0.38976483091444619</v>
      </c>
      <c r="AN259" s="228">
        <f t="shared" si="181"/>
        <v>0.39242326815662015</v>
      </c>
      <c r="AO259" s="228">
        <f t="shared" si="181"/>
        <v>0.39508170539879411</v>
      </c>
      <c r="AP259" s="228">
        <f t="shared" si="181"/>
        <v>0.39774014264096808</v>
      </c>
      <c r="AQ259" s="228">
        <f t="shared" si="181"/>
        <v>0.40039857988314204</v>
      </c>
      <c r="AR259" s="228">
        <f t="shared" si="181"/>
        <v>0.403057017125316</v>
      </c>
      <c r="AS259" s="228">
        <f t="shared" si="182"/>
        <v>0.40571545436748996</v>
      </c>
      <c r="AT259" s="228">
        <f t="shared" si="182"/>
        <v>0.40837389160966392</v>
      </c>
      <c r="AU259" s="228">
        <f t="shared" si="182"/>
        <v>0.41103232885183788</v>
      </c>
      <c r="AV259" s="228">
        <f t="shared" si="182"/>
        <v>0.41369076609401184</v>
      </c>
      <c r="AW259" s="228">
        <f t="shared" si="182"/>
        <v>0.41634920333618597</v>
      </c>
      <c r="AX259" s="228">
        <f t="shared" si="182"/>
        <v>0.41634920333618597</v>
      </c>
      <c r="AY259" s="228">
        <f t="shared" si="183"/>
        <v>0.41900764057835993</v>
      </c>
      <c r="AZ259" s="228">
        <f t="shared" si="183"/>
        <v>0.42166607782053389</v>
      </c>
      <c r="BA259" s="228">
        <f t="shared" si="183"/>
        <v>0.41634920333618597</v>
      </c>
      <c r="BB259" s="228">
        <f t="shared" si="183"/>
        <v>0.41634920333618597</v>
      </c>
      <c r="BC259" s="228">
        <f t="shared" si="183"/>
        <v>0.41634920333618597</v>
      </c>
      <c r="BD259" s="228">
        <f t="shared" si="183"/>
        <v>0.41634920333618597</v>
      </c>
      <c r="BE259" s="228">
        <f t="shared" si="183"/>
        <v>0.41634920333618597</v>
      </c>
    </row>
    <row r="260" spans="1:57">
      <c r="A260" s="227" t="s">
        <v>17</v>
      </c>
      <c r="F260" s="227" t="s">
        <v>466</v>
      </c>
      <c r="G260" s="227" t="s">
        <v>466</v>
      </c>
      <c r="H260" s="227" t="str">
        <f>H257</f>
        <v>high income</v>
      </c>
      <c r="I260" s="228" t="s">
        <v>463</v>
      </c>
      <c r="J260" s="227" t="str">
        <f>J257</f>
        <v>hhd-he</v>
      </c>
      <c r="K260" s="228">
        <f t="shared" si="180"/>
        <v>0.11409440567263367</v>
      </c>
      <c r="L260" s="228">
        <f t="shared" si="181"/>
        <v>0.12544067347156618</v>
      </c>
      <c r="M260" s="228">
        <f t="shared" si="181"/>
        <v>0.1367869412704987</v>
      </c>
      <c r="N260" s="228">
        <f t="shared" si="181"/>
        <v>0.14813320906943123</v>
      </c>
      <c r="O260" s="228">
        <f t="shared" si="181"/>
        <v>0.15065337592099071</v>
      </c>
      <c r="P260" s="228">
        <f t="shared" si="181"/>
        <v>0.15317354277255019</v>
      </c>
      <c r="Q260" s="228">
        <f t="shared" si="181"/>
        <v>0.15569370962410967</v>
      </c>
      <c r="R260" s="228">
        <f t="shared" si="181"/>
        <v>0.15821387647566915</v>
      </c>
      <c r="S260" s="228">
        <f t="shared" si="181"/>
        <v>0.16073404332722868</v>
      </c>
      <c r="T260" s="228">
        <f t="shared" si="181"/>
        <v>0.16306503688112847</v>
      </c>
      <c r="U260" s="228">
        <f t="shared" si="181"/>
        <v>0.16539603043502826</v>
      </c>
      <c r="V260" s="228">
        <f t="shared" si="181"/>
        <v>0.16772702398892805</v>
      </c>
      <c r="W260" s="228">
        <f t="shared" si="181"/>
        <v>0.17005801754282784</v>
      </c>
      <c r="X260" s="228">
        <f t="shared" si="181"/>
        <v>0.17238901109672763</v>
      </c>
      <c r="Y260" s="228">
        <f t="shared" si="181"/>
        <v>0.17472000465062743</v>
      </c>
      <c r="Z260" s="228">
        <f t="shared" si="181"/>
        <v>0.17705099820452722</v>
      </c>
      <c r="AA260" s="228">
        <f t="shared" si="181"/>
        <v>0.17938199175842701</v>
      </c>
      <c r="AB260" s="228">
        <f t="shared" si="181"/>
        <v>0.1817129853123268</v>
      </c>
      <c r="AC260" s="228">
        <f t="shared" si="181"/>
        <v>0.18404397886622662</v>
      </c>
      <c r="AD260" s="228">
        <f t="shared" si="181"/>
        <v>0.18629217880246429</v>
      </c>
      <c r="AE260" s="228">
        <f t="shared" si="181"/>
        <v>0.18854037873870197</v>
      </c>
      <c r="AF260" s="228">
        <f t="shared" si="181"/>
        <v>0.19078857867493965</v>
      </c>
      <c r="AG260" s="228">
        <f t="shared" si="181"/>
        <v>0.19303677861117732</v>
      </c>
      <c r="AH260" s="228">
        <f t="shared" si="181"/>
        <v>0.195284978547415</v>
      </c>
      <c r="AI260" s="228">
        <f t="shared" si="181"/>
        <v>0.19753317848365268</v>
      </c>
      <c r="AJ260" s="228">
        <f t="shared" si="181"/>
        <v>0.19978137841989035</v>
      </c>
      <c r="AK260" s="228">
        <f t="shared" si="181"/>
        <v>0.20202957835612803</v>
      </c>
      <c r="AL260" s="228">
        <f t="shared" si="181"/>
        <v>0.20427777829236571</v>
      </c>
      <c r="AM260" s="228">
        <f t="shared" si="181"/>
        <v>0.20652597822860333</v>
      </c>
      <c r="AN260" s="228">
        <f t="shared" si="181"/>
        <v>0.20809510935817704</v>
      </c>
      <c r="AO260" s="228">
        <f t="shared" si="181"/>
        <v>0.20966424048775076</v>
      </c>
      <c r="AP260" s="228">
        <f t="shared" si="181"/>
        <v>0.21123337161732447</v>
      </c>
      <c r="AQ260" s="228">
        <f t="shared" si="181"/>
        <v>0.21280250274689819</v>
      </c>
      <c r="AR260" s="228">
        <f t="shared" si="181"/>
        <v>0.2143716338764719</v>
      </c>
      <c r="AS260" s="228">
        <f t="shared" si="182"/>
        <v>0.21594076500604562</v>
      </c>
      <c r="AT260" s="228">
        <f t="shared" si="182"/>
        <v>0.21750989613561933</v>
      </c>
      <c r="AU260" s="228">
        <f t="shared" si="182"/>
        <v>0.21907902726519304</v>
      </c>
      <c r="AV260" s="228">
        <f t="shared" si="182"/>
        <v>0.22064815839476676</v>
      </c>
      <c r="AW260" s="228">
        <f t="shared" si="182"/>
        <v>0.22221728952434044</v>
      </c>
      <c r="AX260" s="228">
        <f t="shared" si="182"/>
        <v>0.22221728952434044</v>
      </c>
      <c r="AY260" s="228">
        <f t="shared" si="183"/>
        <v>0.22378642065391416</v>
      </c>
      <c r="AZ260" s="228">
        <f t="shared" si="183"/>
        <v>0.22535555178348787</v>
      </c>
      <c r="BA260" s="228">
        <f t="shared" si="183"/>
        <v>0.22221728952434044</v>
      </c>
      <c r="BB260" s="228">
        <f t="shared" si="183"/>
        <v>0.22221728952434044</v>
      </c>
      <c r="BC260" s="228">
        <f t="shared" si="183"/>
        <v>0.22221728952434044</v>
      </c>
      <c r="BD260" s="228">
        <f t="shared" si="183"/>
        <v>0.22221728952434044</v>
      </c>
      <c r="BE260" s="228">
        <f t="shared" si="183"/>
        <v>0.22221728952434044</v>
      </c>
    </row>
    <row r="261" spans="1:57">
      <c r="A261" s="227" t="s">
        <v>17</v>
      </c>
    </row>
    <row r="262" spans="1:57">
      <c r="A262" s="227" t="s">
        <v>17</v>
      </c>
    </row>
    <row r="263" spans="1:57">
      <c r="A263" s="227" t="s">
        <v>17</v>
      </c>
    </row>
    <row r="264" spans="1:57">
      <c r="A264" s="227" t="s">
        <v>17</v>
      </c>
    </row>
    <row r="265" spans="1:57">
      <c r="A265" s="227" t="s">
        <v>17</v>
      </c>
    </row>
    <row r="266" spans="1:57">
      <c r="A266" s="227" t="s">
        <v>17</v>
      </c>
    </row>
    <row r="267" spans="1:57">
      <c r="A267" s="227" t="s">
        <v>17</v>
      </c>
    </row>
    <row r="268" spans="1:57">
      <c r="A268" s="227" t="s">
        <v>17</v>
      </c>
    </row>
    <row r="269" spans="1:57">
      <c r="A269" s="227" t="s">
        <v>17</v>
      </c>
    </row>
    <row r="270" spans="1:57">
      <c r="A270" s="227" t="s">
        <v>17</v>
      </c>
    </row>
    <row r="271" spans="1:57">
      <c r="A271" s="227" t="s">
        <v>17</v>
      </c>
    </row>
    <row r="272" spans="1:57">
      <c r="A272" s="227" t="s">
        <v>17</v>
      </c>
    </row>
    <row r="273" spans="1:1">
      <c r="A273" s="227" t="s">
        <v>17</v>
      </c>
    </row>
    <row r="274" spans="1:1">
      <c r="A274" s="227" t="s">
        <v>17</v>
      </c>
    </row>
    <row r="275" spans="1:1">
      <c r="A275" s="227" t="s">
        <v>17</v>
      </c>
    </row>
    <row r="276" spans="1:1">
      <c r="A276" s="227" t="s">
        <v>17</v>
      </c>
    </row>
    <row r="277" spans="1:1">
      <c r="A277" s="227" t="s">
        <v>17</v>
      </c>
    </row>
  </sheetData>
  <mergeCells count="1">
    <mergeCell ref="B2:C2"/>
  </mergeCells>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31" zoomScale="90" zoomScaleNormal="90" workbookViewId="0">
      <selection activeCell="O48" sqref="O48"/>
    </sheetView>
  </sheetViews>
  <sheetFormatPr defaultColWidth="8.88671875" defaultRowHeight="14.4"/>
  <cols>
    <col min="1" max="1" width="9.109375" style="4" customWidth="1"/>
    <col min="2" max="2" width="15.5546875" customWidth="1"/>
    <col min="3" max="3" width="47.109375" customWidth="1"/>
    <col min="7" max="7" width="9.109375" style="4" customWidth="1"/>
    <col min="12" max="12" width="8.88671875" style="227"/>
    <col min="13" max="43" width="6.88671875" customWidth="1"/>
  </cols>
  <sheetData>
    <row r="1" spans="1:43" s="4" customFormat="1">
      <c r="A1" s="4" t="str">
        <f>IF(TRA,"TS DATA","")</f>
        <v>TS DATA</v>
      </c>
      <c r="B1" s="4" t="s">
        <v>18</v>
      </c>
      <c r="J1" s="41"/>
      <c r="L1" s="227"/>
    </row>
    <row r="2" spans="1:43" s="4" customFormat="1" ht="15" thickBot="1">
      <c r="A2" s="4" t="s">
        <v>17</v>
      </c>
      <c r="B2" s="298" t="s">
        <v>305</v>
      </c>
      <c r="C2" s="298"/>
      <c r="J2" s="41"/>
      <c r="L2" s="227"/>
    </row>
    <row r="3" spans="1:43">
      <c r="A3" s="4" t="s">
        <v>17</v>
      </c>
      <c r="B3" s="4"/>
      <c r="C3" s="4"/>
      <c r="D3" s="4"/>
      <c r="E3" s="4"/>
      <c r="F3" s="4"/>
      <c r="H3" s="4"/>
      <c r="I3" s="4"/>
      <c r="J3" s="227">
        <f>MATCH(J4,MCEcon!$C$42:$AG$42,0)</f>
        <v>1</v>
      </c>
      <c r="K3" s="227">
        <f>MATCH(K4,MCEcon!$C$42:$AG$42,0)</f>
        <v>4</v>
      </c>
      <c r="L3" s="227">
        <f>MATCH(L4,MCEcon!$C$42:$AG$42,0)</f>
        <v>6</v>
      </c>
      <c r="M3" s="227">
        <f>MATCH(M4,MCEcon!$C$42:$AG$42,0)</f>
        <v>9</v>
      </c>
      <c r="N3" s="227">
        <f>MATCH(N4,MCEcon!$C$42:$AG$42,0)</f>
        <v>19</v>
      </c>
      <c r="O3" s="227">
        <f>MATCH(O4,MCEcon!$C$42:$AG$42,0)</f>
        <v>29</v>
      </c>
      <c r="P3" s="227">
        <f>MATCH(P4,MCEcon!$C$42:$AG$42,0)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17</v>
      </c>
      <c r="B4" s="70" t="s">
        <v>157</v>
      </c>
      <c r="C4" s="14"/>
      <c r="D4" s="14" t="s">
        <v>136</v>
      </c>
      <c r="E4" s="14"/>
      <c r="F4" s="14"/>
      <c r="G4" s="14"/>
      <c r="H4" s="14"/>
      <c r="I4" s="14" t="s">
        <v>136</v>
      </c>
      <c r="J4" s="227">
        <v>2012</v>
      </c>
      <c r="K4" s="227">
        <v>2015</v>
      </c>
      <c r="L4" s="227">
        <v>2017</v>
      </c>
      <c r="M4" s="227">
        <v>2020</v>
      </c>
      <c r="N4" s="227">
        <v>2030</v>
      </c>
      <c r="O4" s="227">
        <v>2040</v>
      </c>
      <c r="P4" s="227">
        <v>2050</v>
      </c>
      <c r="Q4" s="4"/>
      <c r="R4" s="4"/>
      <c r="S4" s="4"/>
      <c r="T4" s="4"/>
      <c r="U4" s="4"/>
      <c r="V4" s="4"/>
      <c r="W4" s="4"/>
      <c r="X4" s="4"/>
      <c r="Y4" s="4"/>
      <c r="Z4" s="4"/>
      <c r="AA4" s="4"/>
      <c r="AB4" s="4"/>
      <c r="AC4" s="4"/>
      <c r="AD4" s="4"/>
      <c r="AE4" s="4"/>
      <c r="AF4" s="4"/>
      <c r="AG4" s="4"/>
      <c r="AH4" s="4"/>
      <c r="AI4" s="4"/>
      <c r="AJ4" s="4"/>
      <c r="AK4" s="4"/>
      <c r="AL4" s="4"/>
      <c r="AM4" s="4"/>
      <c r="AN4" s="4"/>
      <c r="AO4" s="4"/>
    </row>
    <row r="5" spans="1:43" ht="15" thickTop="1">
      <c r="A5" s="4" t="s">
        <v>17</v>
      </c>
      <c r="B5" s="228" t="s">
        <v>660</v>
      </c>
      <c r="C5" s="228" t="s">
        <v>666</v>
      </c>
      <c r="D5" s="227">
        <f>MATCH(B5,MCEcon!$A$44:$A$59,0)</f>
        <v>15</v>
      </c>
      <c r="E5" s="228"/>
      <c r="G5"/>
      <c r="J5" s="24">
        <f>INDEX(MCEcon!$C$44:$AG$59,$D5,J$3)</f>
        <v>2.2298555159424292E-3</v>
      </c>
      <c r="K5" s="24">
        <f>INDEX(MCEcon!$C$44:$AG$59,$D5,K$3)</f>
        <v>2.4800086197154843E-3</v>
      </c>
      <c r="L5" s="24">
        <f>INDEX(MCEcon!$C$44:$AG$59,$D5,L$3)</f>
        <v>2.5790708509295301E-3</v>
      </c>
      <c r="M5" s="24">
        <f>INDEX(MCEcon!$C$44:$AG$59,$D5,M$3)</f>
        <v>2.7276641977505983E-3</v>
      </c>
      <c r="N5" s="24">
        <f>INDEX(MCEcon!$C$44:$AG$59,$D5,N$3)</f>
        <v>3.1639375969959196E-3</v>
      </c>
      <c r="O5" s="24">
        <f>INDEX(MCEcon!$C$44:$AG$59,$D5,O$3)</f>
        <v>3.786177822473139E-3</v>
      </c>
      <c r="P5" s="24">
        <f>INDEX(MCEcon!$C$44:$AG$59,$D5,P$3)</f>
        <v>4.3861391350320106E-3</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17</v>
      </c>
      <c r="F6" s="4"/>
      <c r="G6"/>
    </row>
    <row r="7" spans="1:43">
      <c r="A7" s="4" t="s">
        <v>17</v>
      </c>
      <c r="B7" s="4"/>
      <c r="C7" s="4"/>
      <c r="D7" s="4"/>
      <c r="E7" s="4"/>
      <c r="F7" s="4"/>
      <c r="H7" s="4"/>
      <c r="I7" s="4"/>
      <c r="J7" s="56"/>
      <c r="K7" s="6"/>
      <c r="L7" s="228"/>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 thickBot="1">
      <c r="A8" s="4" t="s">
        <v>17</v>
      </c>
      <c r="B8" s="14" t="s">
        <v>106</v>
      </c>
      <c r="D8">
        <f>D27</f>
        <v>2012</v>
      </c>
      <c r="E8" s="4">
        <f>E27</f>
        <v>2015</v>
      </c>
      <c r="F8" s="4">
        <f>F27</f>
        <v>2020</v>
      </c>
      <c r="G8" s="4">
        <f>G27</f>
        <v>2030</v>
      </c>
      <c r="H8" s="4">
        <f>H27</f>
        <v>2050</v>
      </c>
    </row>
    <row r="9" spans="1:43">
      <c r="A9" s="4" t="s">
        <v>17</v>
      </c>
      <c r="B9" s="57" t="s">
        <v>94</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227" customFormat="1">
      <c r="A10" s="227" t="s">
        <v>17</v>
      </c>
      <c r="B10" s="57" t="s">
        <v>107</v>
      </c>
      <c r="D10" s="227">
        <v>1</v>
      </c>
      <c r="E10" s="227">
        <f t="shared" ref="E10" si="3">D10</f>
        <v>1</v>
      </c>
      <c r="F10" s="227">
        <f t="shared" ref="F10" si="4">E10</f>
        <v>1</v>
      </c>
      <c r="G10" s="227">
        <f t="shared" ref="G10" si="5">F10</f>
        <v>1</v>
      </c>
      <c r="H10" s="227">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17</v>
      </c>
      <c r="B11" s="4" t="s">
        <v>96</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17</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17</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 thickBot="1">
      <c r="A14" s="4" t="s">
        <v>17</v>
      </c>
      <c r="B14" s="14" t="s">
        <v>104</v>
      </c>
      <c r="C14" s="14"/>
      <c r="D14" s="4">
        <f>D8</f>
        <v>2012</v>
      </c>
      <c r="E14" s="4">
        <f>E8</f>
        <v>2015</v>
      </c>
      <c r="F14" s="4">
        <f>F8</f>
        <v>2020</v>
      </c>
      <c r="G14" s="4">
        <f>G8</f>
        <v>2030</v>
      </c>
      <c r="H14" s="4">
        <f>H8</f>
        <v>2050</v>
      </c>
      <c r="I14" s="55"/>
    </row>
    <row r="15" spans="1:43">
      <c r="A15" s="4" t="s">
        <v>17</v>
      </c>
      <c r="B15" s="4" t="s">
        <v>93</v>
      </c>
      <c r="E15" s="6"/>
      <c r="F15" s="6"/>
      <c r="G15" s="6"/>
      <c r="H15" s="6"/>
    </row>
    <row r="16" spans="1:43">
      <c r="A16" s="4" t="s">
        <v>17</v>
      </c>
      <c r="B16" s="227" t="s">
        <v>94</v>
      </c>
      <c r="C16" s="6">
        <v>1</v>
      </c>
      <c r="D16" s="6">
        <f>C16</f>
        <v>1</v>
      </c>
      <c r="E16" s="6">
        <f>D16</f>
        <v>1</v>
      </c>
      <c r="F16" s="6">
        <f>E16</f>
        <v>1</v>
      </c>
      <c r="G16" s="6">
        <f>F16</f>
        <v>1</v>
      </c>
      <c r="H16" s="6">
        <f>G16</f>
        <v>1</v>
      </c>
      <c r="I16" s="28" t="s">
        <v>39</v>
      </c>
      <c r="J16" s="136">
        <f>E22</f>
        <v>60.368000000000002</v>
      </c>
      <c r="K16" s="37">
        <f>J16*(1+$C$16*(K5/J5-1))</f>
        <v>67.140296438314024</v>
      </c>
      <c r="L16" s="37">
        <f>K16*(1+$C$16*(L5/K5-1))</f>
        <v>69.82216920144775</v>
      </c>
      <c r="M16" s="37">
        <f t="shared" ref="M16:P16" si="11">L16*(1+$C$16*(M5/L5-1))</f>
        <v>73.844978346148324</v>
      </c>
      <c r="N16" s="37">
        <f t="shared" si="11"/>
        <v>85.656036227407711</v>
      </c>
      <c r="O16" s="37">
        <f t="shared" si="11"/>
        <v>102.50170073932249</v>
      </c>
      <c r="P16" s="37">
        <f t="shared" si="11"/>
        <v>118.74421701789247</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17</v>
      </c>
      <c r="B17" s="227" t="s">
        <v>95</v>
      </c>
      <c r="C17" s="228">
        <v>1</v>
      </c>
      <c r="D17" s="228">
        <v>1</v>
      </c>
      <c r="E17" s="228">
        <v>1</v>
      </c>
      <c r="F17" s="228">
        <v>1</v>
      </c>
      <c r="G17" s="228">
        <v>1</v>
      </c>
      <c r="H17" s="228">
        <v>1</v>
      </c>
      <c r="I17" s="28" t="s">
        <v>39</v>
      </c>
      <c r="J17" s="136">
        <f>E23</f>
        <v>20.123000000000001</v>
      </c>
      <c r="K17" s="37">
        <f>J17*(1+$C$17*(K5/J5-1))</f>
        <v>22.380469540620748</v>
      </c>
      <c r="L17" s="37">
        <f t="shared" ref="L17:P17" si="12">K17*(1+$C$17*(L5/K5-1))</f>
        <v>23.27444193679985</v>
      </c>
      <c r="M17" s="37">
        <f t="shared" si="12"/>
        <v>24.615400531068499</v>
      </c>
      <c r="N17" s="37">
        <f t="shared" si="12"/>
        <v>28.552485041812318</v>
      </c>
      <c r="O17" s="37">
        <f t="shared" si="12"/>
        <v>34.167799562307636</v>
      </c>
      <c r="P17" s="37">
        <f t="shared" si="12"/>
        <v>39.582061341290931</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227" customFormat="1">
      <c r="A18" s="227" t="s">
        <v>17</v>
      </c>
      <c r="B18" s="227" t="s">
        <v>95</v>
      </c>
      <c r="C18" s="228">
        <v>1</v>
      </c>
      <c r="D18" s="228">
        <v>1</v>
      </c>
      <c r="E18" s="228">
        <v>1</v>
      </c>
      <c r="F18" s="228">
        <v>1</v>
      </c>
      <c r="G18" s="228">
        <v>1</v>
      </c>
      <c r="H18" s="228">
        <v>1</v>
      </c>
      <c r="I18" s="28" t="s">
        <v>39</v>
      </c>
      <c r="J18" s="136">
        <f>E24</f>
        <v>1.0701311035156249</v>
      </c>
      <c r="K18" s="37">
        <f>J18*(1+$C$18*(K5/J5-1))</f>
        <v>1.1901822077574074</v>
      </c>
      <c r="L18" s="37">
        <f t="shared" ref="L18:P18" si="13">K18*(1+$C$18*(L5/K5-1))</f>
        <v>1.2377232139113432</v>
      </c>
      <c r="M18" s="37">
        <f t="shared" si="13"/>
        <v>1.3090347231422466</v>
      </c>
      <c r="N18" s="37">
        <f t="shared" si="13"/>
        <v>1.5184069137756786</v>
      </c>
      <c r="O18" s="37">
        <f t="shared" si="13"/>
        <v>1.8170265392989584</v>
      </c>
      <c r="P18" s="37">
        <f t="shared" si="13"/>
        <v>2.1049542803050643</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17</v>
      </c>
      <c r="B19" s="227"/>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17</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17</v>
      </c>
      <c r="B21" s="4"/>
      <c r="C21" s="5" t="s">
        <v>98</v>
      </c>
      <c r="E21" s="4" t="s">
        <v>16</v>
      </c>
      <c r="G21"/>
    </row>
    <row r="22" spans="1:43">
      <c r="A22" s="4" t="s">
        <v>17</v>
      </c>
      <c r="B22" s="228" t="str">
        <f>ITEMS_TRA!C30</f>
        <v>TAIJET</v>
      </c>
      <c r="C22" s="228" t="str">
        <f>ITEMS_TRA!D30</f>
        <v xml:space="preserve">Transport Other -  Aviation Int Jet Fuel </v>
      </c>
      <c r="D22" s="28" t="s">
        <v>39</v>
      </c>
      <c r="E22" s="215">
        <f>'[3]TS BYDem'!$J34</f>
        <v>60.368000000000002</v>
      </c>
      <c r="F22" s="6"/>
      <c r="G22"/>
      <c r="J22" s="6">
        <f>E22</f>
        <v>60.368000000000002</v>
      </c>
      <c r="K22" s="228">
        <f t="shared" ref="K22:P22" si="14">(K16*K9)</f>
        <v>67.140296438314024</v>
      </c>
      <c r="L22" s="261">
        <v>68.939278175231294</v>
      </c>
      <c r="M22" s="228">
        <f t="shared" si="14"/>
        <v>73.844978346148324</v>
      </c>
      <c r="N22" s="228">
        <f t="shared" si="14"/>
        <v>85.656036227407711</v>
      </c>
      <c r="O22" s="228">
        <f t="shared" si="14"/>
        <v>102.50170073932249</v>
      </c>
      <c r="P22" s="228">
        <f t="shared" si="14"/>
        <v>118.74421701789247</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227" customFormat="1">
      <c r="A23" s="227" t="s">
        <v>17</v>
      </c>
      <c r="B23" s="228" t="str">
        <f>ITEMS_TRA!C31</f>
        <v>TADJET</v>
      </c>
      <c r="C23" s="228" t="str">
        <f>ITEMS_TRA!D31</f>
        <v xml:space="preserve">Transport Other -  Aviation Dom Jet Fuel </v>
      </c>
      <c r="D23" s="28" t="s">
        <v>39</v>
      </c>
      <c r="E23" s="215">
        <f>'[3]TS BYDem'!$J35</f>
        <v>20.123000000000001</v>
      </c>
      <c r="F23" s="228"/>
      <c r="J23" s="228">
        <f t="shared" ref="J23:J24" si="15">E23</f>
        <v>20.123000000000001</v>
      </c>
      <c r="K23" s="228">
        <f>(K17*K10)</f>
        <v>22.380469540620748</v>
      </c>
      <c r="L23" s="24">
        <v>20.465228059152793</v>
      </c>
      <c r="M23" s="228">
        <f t="shared" ref="M23:P23" si="16">(M17*M10)</f>
        <v>24.615400531068499</v>
      </c>
      <c r="N23" s="228">
        <f t="shared" si="16"/>
        <v>28.552485041812318</v>
      </c>
      <c r="O23" s="228">
        <f t="shared" si="16"/>
        <v>34.167799562307636</v>
      </c>
      <c r="P23" s="228">
        <f t="shared" si="16"/>
        <v>39.582061341290931</v>
      </c>
      <c r="Q23" s="228"/>
      <c r="R23" s="228"/>
      <c r="S23" s="228"/>
      <c r="T23" s="228"/>
      <c r="U23" s="228"/>
      <c r="V23" s="228"/>
      <c r="W23" s="228"/>
      <c r="X23" s="228"/>
      <c r="Y23" s="228"/>
      <c r="Z23" s="228"/>
      <c r="AA23" s="228"/>
      <c r="AB23" s="228"/>
      <c r="AC23" s="228"/>
      <c r="AD23" s="228"/>
      <c r="AE23" s="228"/>
      <c r="AF23" s="228"/>
      <c r="AG23" s="228"/>
      <c r="AH23" s="228"/>
      <c r="AI23" s="228"/>
      <c r="AJ23" s="228"/>
      <c r="AK23" s="228"/>
      <c r="AL23" s="228"/>
      <c r="AM23" s="228"/>
      <c r="AN23" s="228"/>
      <c r="AO23" s="228"/>
      <c r="AP23" s="228"/>
      <c r="AQ23" s="228"/>
    </row>
    <row r="24" spans="1:43" s="227" customFormat="1">
      <c r="A24" s="227" t="s">
        <v>17</v>
      </c>
      <c r="B24" s="228" t="str">
        <f>ITEMS_TRA!C32</f>
        <v>TAOAG</v>
      </c>
      <c r="C24" s="228" t="str">
        <f>ITEMS_TRA!D32</f>
        <v>Transport Other - Aviation Gasoline</v>
      </c>
      <c r="D24" s="28" t="s">
        <v>39</v>
      </c>
      <c r="E24" s="215">
        <f>'[3]TS BYDem'!$J36</f>
        <v>1.0701311035156249</v>
      </c>
      <c r="F24" s="228"/>
      <c r="J24" s="228">
        <f t="shared" si="15"/>
        <v>1.0701311035156249</v>
      </c>
      <c r="K24" s="228">
        <f>(K18*K11)</f>
        <v>1.1901822077574074</v>
      </c>
      <c r="L24" s="228">
        <f t="shared" ref="L24:P24" si="17">(L18*L11)</f>
        <v>1.2377232139113432</v>
      </c>
      <c r="M24" s="228">
        <f t="shared" si="17"/>
        <v>1.3090347231422466</v>
      </c>
      <c r="N24" s="228">
        <f t="shared" si="17"/>
        <v>1.5184069137756786</v>
      </c>
      <c r="O24" s="228">
        <f t="shared" si="17"/>
        <v>1.8170265392989584</v>
      </c>
      <c r="P24" s="228">
        <f t="shared" si="17"/>
        <v>2.1049542803050643</v>
      </c>
      <c r="Q24" s="228"/>
      <c r="R24" s="228"/>
      <c r="S24" s="228"/>
      <c r="T24" s="228"/>
      <c r="U24" s="228"/>
      <c r="V24" s="228"/>
      <c r="W24" s="228"/>
      <c r="X24" s="228"/>
      <c r="Y24" s="228"/>
      <c r="Z24" s="228"/>
      <c r="AA24" s="228"/>
      <c r="AB24" s="228"/>
      <c r="AC24" s="228"/>
      <c r="AD24" s="228"/>
      <c r="AE24" s="228"/>
      <c r="AF24" s="228"/>
      <c r="AG24" s="228"/>
      <c r="AH24" s="228"/>
      <c r="AI24" s="228"/>
      <c r="AJ24" s="228"/>
      <c r="AK24" s="228"/>
      <c r="AL24" s="228"/>
      <c r="AM24" s="228"/>
      <c r="AN24" s="228"/>
      <c r="AO24" s="228"/>
      <c r="AP24" s="228"/>
      <c r="AQ24" s="228"/>
    </row>
    <row r="25" spans="1:43" s="227" customFormat="1">
      <c r="D25" s="28"/>
      <c r="E25" s="62"/>
      <c r="F25" s="228"/>
      <c r="J25" s="228"/>
      <c r="K25" s="228"/>
      <c r="L25" s="228"/>
      <c r="M25" s="228"/>
      <c r="N25" s="228"/>
      <c r="O25" s="228"/>
      <c r="P25" s="228"/>
      <c r="Q25" s="228"/>
      <c r="R25" s="228"/>
      <c r="S25" s="228"/>
      <c r="T25" s="228"/>
      <c r="U25" s="228"/>
      <c r="V25" s="228"/>
      <c r="W25" s="228"/>
      <c r="X25" s="228"/>
      <c r="Y25" s="228"/>
      <c r="Z25" s="228"/>
      <c r="AA25" s="228"/>
      <c r="AB25" s="228"/>
      <c r="AC25" s="228"/>
      <c r="AD25" s="228"/>
      <c r="AE25" s="228"/>
      <c r="AF25" s="228"/>
      <c r="AG25" s="228"/>
      <c r="AH25" s="228"/>
      <c r="AI25" s="228"/>
      <c r="AJ25" s="228"/>
      <c r="AK25" s="228"/>
      <c r="AL25" s="228"/>
      <c r="AM25" s="228"/>
      <c r="AN25" s="228"/>
      <c r="AO25" s="228"/>
      <c r="AP25" s="228"/>
      <c r="AQ25" s="228"/>
    </row>
    <row r="26" spans="1:43" ht="18" thickBot="1">
      <c r="A26" s="4" t="s">
        <v>17</v>
      </c>
      <c r="B26" s="70" t="s">
        <v>667</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 thickTop="1">
      <c r="A27" s="4" t="s">
        <v>17</v>
      </c>
      <c r="D27" s="4">
        <v>2012</v>
      </c>
      <c r="E27" s="4">
        <v>2015</v>
      </c>
      <c r="F27" s="4">
        <v>2020</v>
      </c>
      <c r="G27" s="4">
        <v>2030</v>
      </c>
      <c r="H27" s="4">
        <v>2050</v>
      </c>
      <c r="I27" s="4"/>
    </row>
    <row r="28" spans="1:43">
      <c r="A28" s="4" t="s">
        <v>17</v>
      </c>
      <c r="B28" s="228" t="s">
        <v>661</v>
      </c>
      <c r="C28" s="228" t="s">
        <v>667</v>
      </c>
      <c r="D28" s="227">
        <f>MATCH(B28,MCEcon!$A$44:$A$59,0)</f>
        <v>16</v>
      </c>
      <c r="E28" s="228"/>
      <c r="F28" s="227"/>
      <c r="G28" s="227"/>
      <c r="H28" s="227"/>
      <c r="I28" s="227"/>
      <c r="J28" s="134">
        <f>INDEX(MCEcon!$C$44:$AG$59,$D28,J$3)</f>
        <v>1.6324972857029358E-4</v>
      </c>
      <c r="K28" s="134">
        <f>INDEX(MCEcon!$C$44:$AG$59,$D28,K$3)</f>
        <v>1.5145973200099698E-4</v>
      </c>
      <c r="L28" s="134">
        <f>INDEX(MCEcon!$C$44:$AG$59,$D28,L$3)</f>
        <v>1.43637226868203E-4</v>
      </c>
      <c r="M28" s="134">
        <f>INDEX(MCEcon!$C$44:$AG$59,$D28,M$3)</f>
        <v>1.3190346916901207E-4</v>
      </c>
      <c r="N28" s="134">
        <f>INDEX(MCEcon!$C$44:$AG$59,$D28,N$3)</f>
        <v>1.6209824782721812E-4</v>
      </c>
      <c r="O28" s="134">
        <f>INDEX(MCEcon!$C$44:$AG$59,$D28,O$3)</f>
        <v>2.0940425585030297E-4</v>
      </c>
      <c r="P28" s="134">
        <f>INDEX(MCEcon!$C$44:$AG$59,$D28,P$3)</f>
        <v>2.8025966700077475E-4</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17</v>
      </c>
      <c r="F29" s="4"/>
      <c r="G29"/>
    </row>
    <row r="30" spans="1:43">
      <c r="A30" s="4" t="s">
        <v>17</v>
      </c>
      <c r="F30" s="4"/>
      <c r="G30"/>
    </row>
    <row r="31" spans="1:43" ht="15" thickBot="1">
      <c r="A31" s="4" t="s">
        <v>17</v>
      </c>
      <c r="B31" s="69" t="s">
        <v>156</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17</v>
      </c>
      <c r="E32" s="4" t="s">
        <v>16</v>
      </c>
    </row>
    <row r="33" spans="1:78">
      <c r="A33" s="4" t="s">
        <v>17</v>
      </c>
      <c r="B33" s="4" t="s">
        <v>135</v>
      </c>
      <c r="C33" s="4" t="s">
        <v>105</v>
      </c>
      <c r="D33" t="s">
        <v>39</v>
      </c>
      <c r="E33" s="62">
        <f>'[3]TS BYDem'!$J$33</f>
        <v>0.820564128</v>
      </c>
      <c r="J33" s="228">
        <f>E33</f>
        <v>0.820564128</v>
      </c>
      <c r="K33" s="228">
        <f>J33</f>
        <v>0.820564128</v>
      </c>
      <c r="L33" s="228">
        <f>K33</f>
        <v>0.820564128</v>
      </c>
      <c r="M33" s="228">
        <f>K33</f>
        <v>0.820564128</v>
      </c>
      <c r="N33" s="228">
        <f t="shared" ref="N33:P33" si="18">M33</f>
        <v>0.820564128</v>
      </c>
      <c r="O33" s="228">
        <f t="shared" si="18"/>
        <v>0.820564128</v>
      </c>
      <c r="P33" s="228">
        <f t="shared" si="18"/>
        <v>0.820564128</v>
      </c>
    </row>
    <row r="34" spans="1:78">
      <c r="A34" s="4" t="s">
        <v>17</v>
      </c>
    </row>
    <row r="35" spans="1:78" ht="18" thickBot="1">
      <c r="A35" s="4" t="s">
        <v>17</v>
      </c>
      <c r="C35" s="70" t="s">
        <v>158</v>
      </c>
    </row>
    <row r="36" spans="1:78" ht="15" thickTop="1">
      <c r="A36" s="4" t="s">
        <v>17</v>
      </c>
      <c r="B36" s="4" t="s">
        <v>159</v>
      </c>
      <c r="C36" s="4" t="s">
        <v>160</v>
      </c>
      <c r="D36" s="28" t="s">
        <v>39</v>
      </c>
      <c r="E36" s="62">
        <f>'[3]TS BYDem'!$J$37</f>
        <v>2.1423460006713867E-2</v>
      </c>
      <c r="J36" s="6">
        <f>E36</f>
        <v>2.1423460006713867E-2</v>
      </c>
      <c r="K36" s="6">
        <f>K$28/J$28*J36</f>
        <v>1.9876244448111209E-2</v>
      </c>
      <c r="L36" s="228">
        <f>L$28/K$28*K36</f>
        <v>1.8849687605827913E-2</v>
      </c>
      <c r="M36" s="228">
        <f>M$28/K$28*K36</f>
        <v>1.7309852342402975E-2</v>
      </c>
      <c r="N36" s="228">
        <f t="shared" ref="N36:P36" si="19">N$28/M$28*M36</f>
        <v>2.1272349791316751E-2</v>
      </c>
      <c r="O36" s="228">
        <f t="shared" si="19"/>
        <v>2.7480374636659508E-2</v>
      </c>
      <c r="P36" s="228">
        <f t="shared" si="19"/>
        <v>3.6778816234911721E-2</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17</v>
      </c>
    </row>
    <row r="38" spans="1:78" s="227" customFormat="1"/>
    <row r="39" spans="1:78" s="227" customFormat="1"/>
    <row r="40" spans="1:78" s="227" customFormat="1"/>
    <row r="42" spans="1:78" s="227" customFormat="1" ht="21.6">
      <c r="A42" s="137" t="s">
        <v>17</v>
      </c>
      <c r="B42" s="141" t="s">
        <v>19</v>
      </c>
      <c r="C42" s="141" t="s">
        <v>20</v>
      </c>
      <c r="D42" s="141" t="s">
        <v>21</v>
      </c>
      <c r="E42" s="141" t="s">
        <v>22</v>
      </c>
      <c r="F42" s="141" t="s">
        <v>23</v>
      </c>
      <c r="G42" s="141" t="s">
        <v>24</v>
      </c>
      <c r="H42" s="141" t="s">
        <v>25</v>
      </c>
      <c r="I42" s="142" t="s">
        <v>26</v>
      </c>
      <c r="J42" s="230">
        <v>2012</v>
      </c>
      <c r="K42" s="230">
        <v>2013</v>
      </c>
      <c r="L42" s="230">
        <v>2014</v>
      </c>
      <c r="M42" s="230">
        <v>2015</v>
      </c>
      <c r="N42" s="230">
        <v>2016</v>
      </c>
      <c r="O42" s="230">
        <v>2017</v>
      </c>
      <c r="P42" s="230">
        <v>2018</v>
      </c>
      <c r="Q42" s="230">
        <v>2019</v>
      </c>
      <c r="R42" s="230">
        <v>2020</v>
      </c>
      <c r="S42" s="230">
        <v>2021</v>
      </c>
      <c r="T42" s="230">
        <v>2022</v>
      </c>
      <c r="U42" s="230">
        <v>2023</v>
      </c>
      <c r="V42" s="230">
        <v>2024</v>
      </c>
      <c r="W42" s="230">
        <v>2025</v>
      </c>
      <c r="X42" s="230">
        <v>2026</v>
      </c>
      <c r="Y42" s="230">
        <v>2027</v>
      </c>
      <c r="Z42" s="230">
        <v>2028</v>
      </c>
      <c r="AA42" s="230">
        <v>2029</v>
      </c>
      <c r="AB42" s="230">
        <v>2030</v>
      </c>
      <c r="AC42" s="230">
        <v>2031</v>
      </c>
      <c r="AD42" s="230">
        <v>2032</v>
      </c>
      <c r="AE42" s="230">
        <v>2033</v>
      </c>
      <c r="AF42" s="230">
        <v>2034</v>
      </c>
      <c r="AG42" s="230">
        <v>2035</v>
      </c>
      <c r="AH42" s="230">
        <v>2036</v>
      </c>
      <c r="AI42" s="230">
        <v>2037</v>
      </c>
      <c r="AJ42" s="230">
        <v>2038</v>
      </c>
      <c r="AK42" s="230">
        <v>2039</v>
      </c>
      <c r="AL42" s="230">
        <v>2040</v>
      </c>
      <c r="AM42" s="230">
        <v>2045</v>
      </c>
      <c r="AN42" s="230">
        <v>2050</v>
      </c>
      <c r="AO42" s="230">
        <v>2060</v>
      </c>
      <c r="AP42" s="230">
        <v>2070</v>
      </c>
    </row>
    <row r="43" spans="1:78" s="233" customFormat="1">
      <c r="A43" s="137" t="s">
        <v>17</v>
      </c>
      <c r="B43" s="233" t="s">
        <v>404</v>
      </c>
      <c r="C43" s="138">
        <v>1</v>
      </c>
      <c r="D43" s="233">
        <v>2012</v>
      </c>
      <c r="E43" s="233">
        <v>2015</v>
      </c>
      <c r="F43" s="233">
        <v>2020</v>
      </c>
      <c r="G43" s="138">
        <v>2030</v>
      </c>
      <c r="H43" s="233">
        <v>2040</v>
      </c>
      <c r="I43" s="143">
        <v>2050</v>
      </c>
      <c r="J43" s="233">
        <f t="shared" ref="J43:AP43" si="20">MATCH(J$42,$D$43:$I$43,$C43)</f>
        <v>1</v>
      </c>
      <c r="K43" s="233">
        <f t="shared" si="20"/>
        <v>1</v>
      </c>
      <c r="L43" s="233">
        <f t="shared" si="20"/>
        <v>1</v>
      </c>
      <c r="M43" s="233">
        <f t="shared" si="20"/>
        <v>2</v>
      </c>
      <c r="N43" s="233">
        <f t="shared" si="20"/>
        <v>2</v>
      </c>
      <c r="O43" s="233">
        <f t="shared" si="20"/>
        <v>2</v>
      </c>
      <c r="P43" s="233">
        <f t="shared" si="20"/>
        <v>2</v>
      </c>
      <c r="Q43" s="233">
        <f t="shared" si="20"/>
        <v>2</v>
      </c>
      <c r="R43" s="233">
        <f t="shared" si="20"/>
        <v>3</v>
      </c>
      <c r="S43" s="233">
        <f t="shared" si="20"/>
        <v>3</v>
      </c>
      <c r="T43" s="233">
        <f t="shared" si="20"/>
        <v>3</v>
      </c>
      <c r="U43" s="233">
        <f t="shared" si="20"/>
        <v>3</v>
      </c>
      <c r="V43" s="233">
        <f t="shared" si="20"/>
        <v>3</v>
      </c>
      <c r="W43" s="233">
        <f t="shared" si="20"/>
        <v>3</v>
      </c>
      <c r="X43" s="233">
        <f t="shared" si="20"/>
        <v>3</v>
      </c>
      <c r="Y43" s="233">
        <f t="shared" si="20"/>
        <v>3</v>
      </c>
      <c r="Z43" s="233">
        <f t="shared" si="20"/>
        <v>3</v>
      </c>
      <c r="AA43" s="233">
        <f t="shared" si="20"/>
        <v>3</v>
      </c>
      <c r="AB43" s="233">
        <f t="shared" si="20"/>
        <v>4</v>
      </c>
      <c r="AC43" s="233">
        <f t="shared" si="20"/>
        <v>4</v>
      </c>
      <c r="AD43" s="233">
        <f t="shared" si="20"/>
        <v>4</v>
      </c>
      <c r="AE43" s="233">
        <f t="shared" si="20"/>
        <v>4</v>
      </c>
      <c r="AF43" s="233">
        <f t="shared" si="20"/>
        <v>4</v>
      </c>
      <c r="AG43" s="233">
        <f t="shared" si="20"/>
        <v>4</v>
      </c>
      <c r="AH43" s="233">
        <f t="shared" si="20"/>
        <v>4</v>
      </c>
      <c r="AI43" s="233">
        <f t="shared" si="20"/>
        <v>4</v>
      </c>
      <c r="AJ43" s="233">
        <f t="shared" si="20"/>
        <v>4</v>
      </c>
      <c r="AK43" s="233">
        <f t="shared" si="20"/>
        <v>4</v>
      </c>
      <c r="AL43" s="233">
        <f t="shared" si="20"/>
        <v>5</v>
      </c>
      <c r="AM43" s="233">
        <f t="shared" si="20"/>
        <v>5</v>
      </c>
      <c r="AN43" s="233">
        <f t="shared" si="20"/>
        <v>6</v>
      </c>
      <c r="AO43" s="233">
        <f t="shared" si="20"/>
        <v>6</v>
      </c>
      <c r="AP43" s="233">
        <f t="shared" si="20"/>
        <v>6</v>
      </c>
      <c r="AR43" s="227"/>
      <c r="AS43" s="227"/>
      <c r="AT43" s="227"/>
      <c r="AU43" s="227"/>
      <c r="AV43" s="227"/>
      <c r="AW43" s="227"/>
      <c r="AX43" s="227"/>
      <c r="AY43" s="227"/>
      <c r="AZ43" s="227"/>
      <c r="BA43" s="227"/>
      <c r="BB43" s="227"/>
      <c r="BC43" s="227"/>
      <c r="BD43" s="227"/>
      <c r="BE43" s="227"/>
      <c r="BF43" s="227"/>
      <c r="BG43" s="227"/>
      <c r="BH43" s="227"/>
      <c r="BI43" s="227"/>
      <c r="BJ43" s="227"/>
      <c r="BK43" s="227"/>
      <c r="BL43" s="227"/>
      <c r="BM43" s="227"/>
      <c r="BN43" s="227"/>
      <c r="BO43" s="227"/>
      <c r="BP43" s="227"/>
      <c r="BQ43" s="227"/>
      <c r="BR43" s="227"/>
      <c r="BS43" s="227"/>
      <c r="BT43" s="227"/>
      <c r="BU43" s="227"/>
      <c r="BV43" s="227"/>
      <c r="BW43" s="227"/>
      <c r="BX43" s="227"/>
      <c r="BY43" s="227"/>
      <c r="BZ43" s="227"/>
    </row>
    <row r="44" spans="1:78" s="229" customFormat="1">
      <c r="A44" s="41" t="s">
        <v>17</v>
      </c>
      <c r="B44" s="229" t="s">
        <v>405</v>
      </c>
      <c r="C44" s="230">
        <v>0</v>
      </c>
      <c r="D44" s="229">
        <f>INDEX($D43:$I43,0,COUNT($D43:$I43)-D45)</f>
        <v>2050</v>
      </c>
      <c r="E44" s="229">
        <f>INDEX($D43:$I43,0,COUNT($D43:$I43)-E45)</f>
        <v>2040</v>
      </c>
      <c r="F44" s="229">
        <f>INDEX($D43:$I43,0,COUNT($D43:$I43)-F45)</f>
        <v>2030</v>
      </c>
      <c r="G44" s="229">
        <f>INDEX($D43:$I43,0,COUNT($D43:$I43)-G45)</f>
        <v>2020</v>
      </c>
      <c r="H44" s="229">
        <f>INDEX($D43:$I43,0,COUNT($D43:$I43)-H45)</f>
        <v>2015</v>
      </c>
      <c r="I44" s="144">
        <v>2012</v>
      </c>
      <c r="J44" s="41">
        <f>MATCH(J$42,$D$43:$I$43,$C44)</f>
        <v>1</v>
      </c>
      <c r="K44" s="229" t="e">
        <f t="shared" ref="K44" si="21">MATCH(K$42,$D$43:$I$43,$C44)</f>
        <v>#N/A</v>
      </c>
      <c r="L44" s="229" t="e">
        <f t="shared" ref="L44:AP44" si="22">MATCH(L$42,$D$43:$I$43,$C44)</f>
        <v>#N/A</v>
      </c>
      <c r="M44" s="229">
        <f t="shared" si="22"/>
        <v>2</v>
      </c>
      <c r="N44" s="229" t="e">
        <f t="shared" si="22"/>
        <v>#N/A</v>
      </c>
      <c r="O44" s="229" t="e">
        <f t="shared" si="22"/>
        <v>#N/A</v>
      </c>
      <c r="P44" s="229" t="e">
        <f t="shared" si="22"/>
        <v>#N/A</v>
      </c>
      <c r="Q44" s="229" t="e">
        <f t="shared" si="22"/>
        <v>#N/A</v>
      </c>
      <c r="R44" s="229">
        <f t="shared" si="22"/>
        <v>3</v>
      </c>
      <c r="S44" s="229" t="e">
        <f t="shared" si="22"/>
        <v>#N/A</v>
      </c>
      <c r="T44" s="229" t="e">
        <f t="shared" si="22"/>
        <v>#N/A</v>
      </c>
      <c r="U44" s="229" t="e">
        <f t="shared" si="22"/>
        <v>#N/A</v>
      </c>
      <c r="V44" s="229" t="e">
        <f t="shared" si="22"/>
        <v>#N/A</v>
      </c>
      <c r="W44" s="229" t="e">
        <f t="shared" si="22"/>
        <v>#N/A</v>
      </c>
      <c r="X44" s="229" t="e">
        <f t="shared" si="22"/>
        <v>#N/A</v>
      </c>
      <c r="Y44" s="229" t="e">
        <f t="shared" si="22"/>
        <v>#N/A</v>
      </c>
      <c r="Z44" s="229" t="e">
        <f t="shared" si="22"/>
        <v>#N/A</v>
      </c>
      <c r="AA44" s="229" t="e">
        <f t="shared" si="22"/>
        <v>#N/A</v>
      </c>
      <c r="AB44" s="229">
        <f t="shared" si="22"/>
        <v>4</v>
      </c>
      <c r="AC44" s="229" t="e">
        <f t="shared" si="22"/>
        <v>#N/A</v>
      </c>
      <c r="AD44" s="229" t="e">
        <f t="shared" si="22"/>
        <v>#N/A</v>
      </c>
      <c r="AE44" s="229" t="e">
        <f t="shared" si="22"/>
        <v>#N/A</v>
      </c>
      <c r="AF44" s="229" t="e">
        <f t="shared" si="22"/>
        <v>#N/A</v>
      </c>
      <c r="AG44" s="229" t="e">
        <f t="shared" si="22"/>
        <v>#N/A</v>
      </c>
      <c r="AH44" s="229" t="e">
        <f t="shared" si="22"/>
        <v>#N/A</v>
      </c>
      <c r="AI44" s="229" t="e">
        <f t="shared" si="22"/>
        <v>#N/A</v>
      </c>
      <c r="AJ44" s="229" t="e">
        <f t="shared" si="22"/>
        <v>#N/A</v>
      </c>
      <c r="AK44" s="229" t="e">
        <f t="shared" si="22"/>
        <v>#N/A</v>
      </c>
      <c r="AL44" s="229">
        <f t="shared" si="22"/>
        <v>5</v>
      </c>
      <c r="AM44" s="229" t="e">
        <f t="shared" si="22"/>
        <v>#N/A</v>
      </c>
      <c r="AN44" s="229">
        <f t="shared" si="22"/>
        <v>6</v>
      </c>
      <c r="AO44" s="229" t="e">
        <f t="shared" si="22"/>
        <v>#N/A</v>
      </c>
      <c r="AP44" s="229" t="e">
        <f t="shared" si="22"/>
        <v>#N/A</v>
      </c>
      <c r="AR44" s="227"/>
      <c r="AS44" s="227"/>
      <c r="AT44" s="227"/>
      <c r="AU44" s="227"/>
      <c r="AV44" s="227"/>
      <c r="AW44" s="227"/>
      <c r="AX44" s="227"/>
      <c r="AY44" s="227"/>
      <c r="AZ44" s="227"/>
      <c r="BA44" s="227"/>
      <c r="BB44" s="227"/>
      <c r="BC44" s="227"/>
      <c r="BD44" s="227"/>
      <c r="BE44" s="227"/>
      <c r="BF44" s="227"/>
      <c r="BG44" s="227"/>
      <c r="BH44" s="227"/>
      <c r="BI44" s="227"/>
      <c r="BJ44" s="227"/>
      <c r="BK44" s="227"/>
      <c r="BL44" s="227"/>
      <c r="BM44" s="227"/>
      <c r="BN44" s="227"/>
      <c r="BO44" s="227"/>
      <c r="BP44" s="227"/>
      <c r="BQ44" s="227"/>
      <c r="BR44" s="227"/>
      <c r="BS44" s="227"/>
      <c r="BT44" s="227"/>
      <c r="BU44" s="227"/>
      <c r="BV44" s="227"/>
      <c r="BW44" s="227"/>
      <c r="BX44" s="227"/>
      <c r="BY44" s="227"/>
      <c r="BZ44" s="227"/>
    </row>
    <row r="45" spans="1:78" s="229" customFormat="1">
      <c r="A45" s="41" t="s">
        <v>17</v>
      </c>
      <c r="B45" s="229" t="s">
        <v>403</v>
      </c>
      <c r="C45" s="230">
        <v>-1</v>
      </c>
      <c r="D45" s="229">
        <v>0</v>
      </c>
      <c r="E45" s="229">
        <v>1</v>
      </c>
      <c r="F45" s="229">
        <v>2</v>
      </c>
      <c r="G45" s="229">
        <v>3</v>
      </c>
      <c r="H45" s="229">
        <v>4</v>
      </c>
      <c r="I45" s="229">
        <v>5</v>
      </c>
      <c r="J45" s="41">
        <f t="shared" ref="J45:AP45" si="23">MATCH(J$42,$D$44:$I$44,$C45)</f>
        <v>6</v>
      </c>
      <c r="K45" s="229">
        <f t="shared" si="23"/>
        <v>5</v>
      </c>
      <c r="L45" s="229">
        <f t="shared" si="23"/>
        <v>5</v>
      </c>
      <c r="M45" s="229">
        <f t="shared" si="23"/>
        <v>5</v>
      </c>
      <c r="N45" s="229">
        <f t="shared" si="23"/>
        <v>4</v>
      </c>
      <c r="O45" s="229">
        <f t="shared" si="23"/>
        <v>4</v>
      </c>
      <c r="P45" s="229">
        <f t="shared" si="23"/>
        <v>4</v>
      </c>
      <c r="Q45" s="229">
        <f t="shared" si="23"/>
        <v>4</v>
      </c>
      <c r="R45" s="229">
        <f t="shared" si="23"/>
        <v>4</v>
      </c>
      <c r="S45" s="229">
        <f t="shared" si="23"/>
        <v>3</v>
      </c>
      <c r="T45" s="229">
        <f t="shared" si="23"/>
        <v>3</v>
      </c>
      <c r="U45" s="229">
        <f t="shared" si="23"/>
        <v>3</v>
      </c>
      <c r="V45" s="229">
        <f t="shared" si="23"/>
        <v>3</v>
      </c>
      <c r="W45" s="229">
        <f t="shared" si="23"/>
        <v>3</v>
      </c>
      <c r="X45" s="229">
        <f t="shared" si="23"/>
        <v>3</v>
      </c>
      <c r="Y45" s="229">
        <f t="shared" si="23"/>
        <v>3</v>
      </c>
      <c r="Z45" s="229">
        <f t="shared" si="23"/>
        <v>3</v>
      </c>
      <c r="AA45" s="229">
        <f t="shared" si="23"/>
        <v>3</v>
      </c>
      <c r="AB45" s="229">
        <f t="shared" si="23"/>
        <v>3</v>
      </c>
      <c r="AC45" s="229">
        <f t="shared" si="23"/>
        <v>2</v>
      </c>
      <c r="AD45" s="229">
        <f t="shared" si="23"/>
        <v>2</v>
      </c>
      <c r="AE45" s="229">
        <f t="shared" si="23"/>
        <v>2</v>
      </c>
      <c r="AF45" s="229">
        <f t="shared" si="23"/>
        <v>2</v>
      </c>
      <c r="AG45" s="229">
        <f t="shared" si="23"/>
        <v>2</v>
      </c>
      <c r="AH45" s="229">
        <f t="shared" si="23"/>
        <v>2</v>
      </c>
      <c r="AI45" s="229">
        <f t="shared" si="23"/>
        <v>2</v>
      </c>
      <c r="AJ45" s="229">
        <f t="shared" si="23"/>
        <v>2</v>
      </c>
      <c r="AK45" s="229">
        <f t="shared" si="23"/>
        <v>2</v>
      </c>
      <c r="AL45" s="229">
        <f t="shared" si="23"/>
        <v>2</v>
      </c>
      <c r="AM45" s="229">
        <f t="shared" si="23"/>
        <v>1</v>
      </c>
      <c r="AN45" s="229">
        <f t="shared" si="23"/>
        <v>1</v>
      </c>
      <c r="AO45" s="229" t="e">
        <f t="shared" si="23"/>
        <v>#N/A</v>
      </c>
      <c r="AP45" s="229" t="e">
        <f t="shared" si="23"/>
        <v>#N/A</v>
      </c>
      <c r="AR45" s="227"/>
      <c r="AS45" s="227"/>
      <c r="AT45" s="227"/>
      <c r="AU45" s="227"/>
      <c r="AV45" s="227"/>
      <c r="AW45" s="227"/>
      <c r="AX45" s="227"/>
      <c r="AY45" s="227"/>
      <c r="AZ45" s="227"/>
      <c r="BA45" s="227"/>
      <c r="BB45" s="227"/>
      <c r="BC45" s="227"/>
      <c r="BD45" s="227"/>
      <c r="BE45" s="227"/>
      <c r="BF45" s="227"/>
      <c r="BG45" s="227"/>
      <c r="BH45" s="227"/>
      <c r="BI45" s="227"/>
      <c r="BJ45" s="227"/>
      <c r="BK45" s="227"/>
      <c r="BL45" s="227"/>
      <c r="BM45" s="227"/>
      <c r="BN45" s="227"/>
      <c r="BO45" s="227"/>
      <c r="BP45" s="227"/>
      <c r="BQ45" s="227"/>
      <c r="BR45" s="227"/>
      <c r="BS45" s="227"/>
      <c r="BT45" s="227"/>
      <c r="BU45" s="227"/>
      <c r="BV45" s="227"/>
      <c r="BW45" s="227"/>
      <c r="BX45" s="227"/>
      <c r="BY45" s="227"/>
      <c r="BZ45" s="227"/>
    </row>
    <row r="46" spans="1:78" s="140" customFormat="1">
      <c r="A46" s="139" t="s">
        <v>17</v>
      </c>
      <c r="B46" s="140" t="s">
        <v>406</v>
      </c>
      <c r="I46" s="145"/>
      <c r="J46" s="231">
        <f t="shared" ref="J46:K46" si="24">IF(ISNA(J43),-1,IF(ISNA(J45),99,IF(ISNA(J44),J43,0)))</f>
        <v>0</v>
      </c>
      <c r="K46" s="231">
        <f t="shared" si="24"/>
        <v>1</v>
      </c>
      <c r="L46" s="231">
        <f t="shared" ref="L46:AP46" si="25">IF(ISNA(L43),-1,IF(ISNA(L45),99,IF(ISNA(L44),L43,0)))</f>
        <v>1</v>
      </c>
      <c r="M46" s="231">
        <f t="shared" si="25"/>
        <v>0</v>
      </c>
      <c r="N46" s="231">
        <f t="shared" si="25"/>
        <v>2</v>
      </c>
      <c r="O46" s="231">
        <f t="shared" si="25"/>
        <v>2</v>
      </c>
      <c r="P46" s="231">
        <f t="shared" si="25"/>
        <v>2</v>
      </c>
      <c r="Q46" s="231">
        <f t="shared" si="25"/>
        <v>2</v>
      </c>
      <c r="R46" s="231">
        <f t="shared" si="25"/>
        <v>0</v>
      </c>
      <c r="S46" s="231">
        <f t="shared" si="25"/>
        <v>3</v>
      </c>
      <c r="T46" s="231">
        <f t="shared" si="25"/>
        <v>3</v>
      </c>
      <c r="U46" s="231">
        <f t="shared" si="25"/>
        <v>3</v>
      </c>
      <c r="V46" s="231">
        <f t="shared" si="25"/>
        <v>3</v>
      </c>
      <c r="W46" s="231">
        <f t="shared" si="25"/>
        <v>3</v>
      </c>
      <c r="X46" s="231">
        <f t="shared" si="25"/>
        <v>3</v>
      </c>
      <c r="Y46" s="231">
        <f t="shared" si="25"/>
        <v>3</v>
      </c>
      <c r="Z46" s="231">
        <f t="shared" si="25"/>
        <v>3</v>
      </c>
      <c r="AA46" s="231">
        <f t="shared" si="25"/>
        <v>3</v>
      </c>
      <c r="AB46" s="231">
        <f t="shared" si="25"/>
        <v>0</v>
      </c>
      <c r="AC46" s="231">
        <f t="shared" si="25"/>
        <v>4</v>
      </c>
      <c r="AD46" s="231">
        <f t="shared" si="25"/>
        <v>4</v>
      </c>
      <c r="AE46" s="231">
        <f t="shared" si="25"/>
        <v>4</v>
      </c>
      <c r="AF46" s="231">
        <f t="shared" si="25"/>
        <v>4</v>
      </c>
      <c r="AG46" s="231">
        <f t="shared" si="25"/>
        <v>4</v>
      </c>
      <c r="AH46" s="231">
        <f t="shared" si="25"/>
        <v>4</v>
      </c>
      <c r="AI46" s="231">
        <f t="shared" si="25"/>
        <v>4</v>
      </c>
      <c r="AJ46" s="231">
        <f t="shared" si="25"/>
        <v>4</v>
      </c>
      <c r="AK46" s="231">
        <f t="shared" si="25"/>
        <v>4</v>
      </c>
      <c r="AL46" s="231">
        <f t="shared" si="25"/>
        <v>0</v>
      </c>
      <c r="AM46" s="231">
        <f t="shared" si="25"/>
        <v>5</v>
      </c>
      <c r="AN46" s="231">
        <f t="shared" si="25"/>
        <v>0</v>
      </c>
      <c r="AO46" s="231">
        <f t="shared" si="25"/>
        <v>99</v>
      </c>
      <c r="AP46" s="231">
        <f t="shared" si="25"/>
        <v>99</v>
      </c>
      <c r="AR46" s="227"/>
      <c r="AS46" s="227"/>
      <c r="AT46" s="227"/>
      <c r="AU46" s="227"/>
      <c r="AV46" s="227"/>
      <c r="AW46" s="227"/>
      <c r="AX46" s="227"/>
      <c r="AY46" s="227"/>
      <c r="AZ46" s="227"/>
      <c r="BA46" s="227"/>
      <c r="BB46" s="227"/>
      <c r="BC46" s="227"/>
      <c r="BD46" s="227"/>
      <c r="BE46" s="227"/>
      <c r="BF46" s="227"/>
      <c r="BG46" s="227"/>
      <c r="BH46" s="227"/>
      <c r="BI46" s="227"/>
      <c r="BJ46" s="227"/>
      <c r="BK46" s="227"/>
      <c r="BL46" s="227"/>
      <c r="BM46" s="227"/>
      <c r="BN46" s="227"/>
      <c r="BO46" s="227"/>
      <c r="BP46" s="227"/>
      <c r="BQ46" s="227"/>
      <c r="BR46" s="227"/>
      <c r="BS46" s="227"/>
      <c r="BT46" s="227"/>
      <c r="BU46" s="227"/>
      <c r="BV46" s="227"/>
      <c r="BW46" s="227"/>
      <c r="BX46" s="227"/>
      <c r="BY46" s="227"/>
      <c r="BZ46" s="227"/>
    </row>
    <row r="47" spans="1:78" s="227" customFormat="1">
      <c r="A47" s="41" t="s">
        <v>126</v>
      </c>
      <c r="B47" s="146" t="str">
        <f t="shared" ref="B47:B51" si="26">IF(A47="*","","COM_PROJ")</f>
        <v>COM_PROJ</v>
      </c>
      <c r="C47" s="147" t="str">
        <f t="shared" ref="C47:C51" si="27">IF($A47="*","","-")</f>
        <v>-</v>
      </c>
      <c r="D47" s="61" t="s">
        <v>135</v>
      </c>
      <c r="E47" s="147" t="str">
        <f t="shared" ref="E47:H51" si="28">IF($A47="*","","-")</f>
        <v>-</v>
      </c>
      <c r="F47" s="147" t="str">
        <f t="shared" si="28"/>
        <v>-</v>
      </c>
      <c r="G47" s="147" t="str">
        <f t="shared" si="28"/>
        <v>-</v>
      </c>
      <c r="H47" s="147" t="str">
        <f t="shared" si="28"/>
        <v>-</v>
      </c>
      <c r="I47" s="148">
        <f t="shared" ref="I47:I51" si="29">IF(A47="*","",0)</f>
        <v>0</v>
      </c>
      <c r="J47" s="228">
        <f>J33</f>
        <v>0.820564128</v>
      </c>
      <c r="K47" s="228">
        <f t="shared" ref="K47:AL47" si="30">IF(K$46=-1,L47,IF(K$46=99,J47,IF(K$46=0,INDEX($J33:$P33,0,K$44),(INDEX($J33:$P33,0,K$46+1)-INDEX($J33:$P33,0,K$46))/(INDEX($J$4:$P$4,0,K$46+1)-INDEX($J$4:$P$4,0,K$46))+J47)))</f>
        <v>0.820564128</v>
      </c>
      <c r="L47" s="228">
        <f t="shared" si="30"/>
        <v>0.820564128</v>
      </c>
      <c r="M47" s="228">
        <f t="shared" si="30"/>
        <v>0.820564128</v>
      </c>
      <c r="N47" s="228">
        <f t="shared" si="30"/>
        <v>0.820564128</v>
      </c>
      <c r="O47" s="228">
        <f t="shared" si="30"/>
        <v>0.820564128</v>
      </c>
      <c r="P47" s="228">
        <f t="shared" si="30"/>
        <v>0.820564128</v>
      </c>
      <c r="Q47" s="228">
        <f t="shared" si="30"/>
        <v>0.820564128</v>
      </c>
      <c r="R47" s="228">
        <f t="shared" si="30"/>
        <v>0.820564128</v>
      </c>
      <c r="S47" s="228">
        <f t="shared" si="30"/>
        <v>0.820564128</v>
      </c>
      <c r="T47" s="228">
        <f t="shared" si="30"/>
        <v>0.820564128</v>
      </c>
      <c r="U47" s="228">
        <f t="shared" si="30"/>
        <v>0.820564128</v>
      </c>
      <c r="V47" s="228">
        <f t="shared" si="30"/>
        <v>0.820564128</v>
      </c>
      <c r="W47" s="228">
        <f t="shared" si="30"/>
        <v>0.820564128</v>
      </c>
      <c r="X47" s="228">
        <f t="shared" si="30"/>
        <v>0.820564128</v>
      </c>
      <c r="Y47" s="228">
        <f t="shared" si="30"/>
        <v>0.820564128</v>
      </c>
      <c r="Z47" s="228">
        <f t="shared" si="30"/>
        <v>0.820564128</v>
      </c>
      <c r="AA47" s="228">
        <f t="shared" si="30"/>
        <v>0.820564128</v>
      </c>
      <c r="AB47" s="228">
        <f t="shared" si="30"/>
        <v>0.820564128</v>
      </c>
      <c r="AC47" s="228">
        <f t="shared" si="30"/>
        <v>0.820564128</v>
      </c>
      <c r="AD47" s="228">
        <f t="shared" si="30"/>
        <v>0.820564128</v>
      </c>
      <c r="AE47" s="228">
        <f t="shared" si="30"/>
        <v>0.820564128</v>
      </c>
      <c r="AF47" s="228">
        <f t="shared" si="30"/>
        <v>0.820564128</v>
      </c>
      <c r="AG47" s="228">
        <f t="shared" si="30"/>
        <v>0.820564128</v>
      </c>
      <c r="AH47" s="228">
        <f t="shared" si="30"/>
        <v>0.820564128</v>
      </c>
      <c r="AI47" s="228">
        <f t="shared" si="30"/>
        <v>0.820564128</v>
      </c>
      <c r="AJ47" s="228">
        <f t="shared" si="30"/>
        <v>0.820564128</v>
      </c>
      <c r="AK47" s="228">
        <f t="shared" si="30"/>
        <v>0.820564128</v>
      </c>
      <c r="AL47" s="228">
        <f t="shared" si="30"/>
        <v>0.820564128</v>
      </c>
      <c r="AM47" s="258">
        <f>(AL47+AN47)/2</f>
        <v>0.820564128</v>
      </c>
      <c r="AN47" s="228">
        <f>IF(AN$46=-1,AO47,IF(AN$46=99,AM47,IF(AN$46=0,INDEX($J33:$P33,0,AN$44),(INDEX($J33:$P33,0,AN$46+1)-INDEX($J33:$P33,0,AN$46))/(INDEX($J$4:$P$4,0,AN$46+1)-INDEX($J$4:$P$4,0,AN$46))+AM47)))</f>
        <v>0.820564128</v>
      </c>
      <c r="AO47" s="228">
        <f>IF(AO$46=-1,AP47,IF(AO$46=99,AN47,IF(AO$46=0,INDEX($J33:$P33,0,AO$44),(INDEX($J33:$P33,0,AO$46+1)-INDEX($J33:$P33,0,AO$46))/(INDEX($J$4:$P$4,0,AO$46+1)-INDEX($J$4:$P$4,0,AO$46))+AN47)))</f>
        <v>0.820564128</v>
      </c>
      <c r="AP47" s="228">
        <f>IF(AP$46=-1,AR47,IF(AP$46=99,AO47,IF(AP$46=0,INDEX($J33:$P33,0,AP$44),(INDEX($J33:$P33,0,AP$46+1)-INDEX($J33:$P33,0,AP$46))/(INDEX($J$4:$P$4,0,AP$46+1)-INDEX($J$4:$P$4,0,AP$46))+AO47)))</f>
        <v>0.820564128</v>
      </c>
    </row>
    <row r="48" spans="1:78" s="227" customFormat="1">
      <c r="A48" s="41"/>
      <c r="B48" s="146" t="str">
        <f t="shared" si="26"/>
        <v>COM_PROJ</v>
      </c>
      <c r="C48" s="147" t="str">
        <f t="shared" si="27"/>
        <v>-</v>
      </c>
      <c r="D48" s="61" t="str">
        <f>B22</f>
        <v>TAIJET</v>
      </c>
      <c r="E48" s="147" t="str">
        <f t="shared" si="28"/>
        <v>-</v>
      </c>
      <c r="F48" s="147" t="str">
        <f t="shared" si="28"/>
        <v>-</v>
      </c>
      <c r="G48" s="147" t="str">
        <f t="shared" si="28"/>
        <v>-</v>
      </c>
      <c r="H48" s="147" t="str">
        <f t="shared" si="28"/>
        <v>-</v>
      </c>
      <c r="I48" s="148">
        <f t="shared" si="29"/>
        <v>0</v>
      </c>
      <c r="J48" s="228">
        <f>J22</f>
        <v>60.368000000000002</v>
      </c>
      <c r="K48" s="228">
        <f t="shared" ref="K48:AL48" si="31">IF(K$46=-1,L48,IF(K$46=99,J48,IF(K$46=0,INDEX($J22:$P22,0,K$44),(INDEX($J22:$P22,0,K$46+1)-INDEX($J22:$P22,0,K$46))/(INDEX($J$4:$P$4,0,K$46+1)-INDEX($J$4:$P$4,0,K$46))+J48)))</f>
        <v>62.625432146104679</v>
      </c>
      <c r="L48" s="228">
        <f t="shared" si="31"/>
        <v>64.882864292209348</v>
      </c>
      <c r="M48" s="228">
        <f t="shared" si="31"/>
        <v>67.140296438314024</v>
      </c>
      <c r="N48" s="228">
        <f t="shared" si="31"/>
        <v>68.039787306772666</v>
      </c>
      <c r="O48" s="228">
        <f t="shared" si="31"/>
        <v>68.939278175231294</v>
      </c>
      <c r="P48" s="228">
        <f t="shared" si="31"/>
        <v>69.838769043689922</v>
      </c>
      <c r="Q48" s="228">
        <f t="shared" si="31"/>
        <v>70.73825991214855</v>
      </c>
      <c r="R48" s="228">
        <f t="shared" si="31"/>
        <v>68.939278175231294</v>
      </c>
      <c r="S48" s="228">
        <f t="shared" si="31"/>
        <v>70.574511565536966</v>
      </c>
      <c r="T48" s="228">
        <f t="shared" si="31"/>
        <v>72.209744955842638</v>
      </c>
      <c r="U48" s="228">
        <f t="shared" si="31"/>
        <v>73.844978346148309</v>
      </c>
      <c r="V48" s="228">
        <f t="shared" si="31"/>
        <v>75.480211736453981</v>
      </c>
      <c r="W48" s="228">
        <f t="shared" si="31"/>
        <v>77.115445126759653</v>
      </c>
      <c r="X48" s="228">
        <f t="shared" si="31"/>
        <v>78.750678517065325</v>
      </c>
      <c r="Y48" s="228">
        <f t="shared" si="31"/>
        <v>80.385911907370996</v>
      </c>
      <c r="Z48" s="228">
        <f t="shared" si="31"/>
        <v>82.021145297676668</v>
      </c>
      <c r="AA48" s="228">
        <f t="shared" si="31"/>
        <v>83.65637868798234</v>
      </c>
      <c r="AB48" s="228">
        <f t="shared" si="31"/>
        <v>73.844978346148324</v>
      </c>
      <c r="AC48" s="228">
        <f t="shared" si="31"/>
        <v>75.026084134274257</v>
      </c>
      <c r="AD48" s="228">
        <f t="shared" si="31"/>
        <v>76.20718992240019</v>
      </c>
      <c r="AE48" s="228">
        <f t="shared" si="31"/>
        <v>77.388295710526123</v>
      </c>
      <c r="AF48" s="228">
        <f t="shared" si="31"/>
        <v>78.569401498652056</v>
      </c>
      <c r="AG48" s="228">
        <f t="shared" si="31"/>
        <v>79.750507286777989</v>
      </c>
      <c r="AH48" s="228">
        <f t="shared" si="31"/>
        <v>80.931613074903922</v>
      </c>
      <c r="AI48" s="228">
        <f t="shared" si="31"/>
        <v>82.112718863029855</v>
      </c>
      <c r="AJ48" s="228">
        <f t="shared" si="31"/>
        <v>83.293824651155788</v>
      </c>
      <c r="AK48" s="228">
        <f t="shared" si="31"/>
        <v>84.474930439281721</v>
      </c>
      <c r="AL48" s="228">
        <f t="shared" si="31"/>
        <v>85.656036227407711</v>
      </c>
      <c r="AM48" s="258">
        <f t="shared" ref="AM48:AM51" si="32">(AL48+AN48)/2</f>
        <v>94.078868483365099</v>
      </c>
      <c r="AN48" s="228">
        <f t="shared" ref="AN48:AO50" si="33">IF(AN$46=-1,AO48,IF(AN$46=99,AM48,IF(AN$46=0,INDEX($J22:$P22,0,AN$44),(INDEX($J22:$P22,0,AN$46+1)-INDEX($J22:$P22,0,AN$46))/(INDEX($J$4:$P$4,0,AN$46+1)-INDEX($J$4:$P$4,0,AN$46))+AM48)))</f>
        <v>102.50170073932249</v>
      </c>
      <c r="AO48" s="228">
        <f t="shared" si="33"/>
        <v>102.50170073932249</v>
      </c>
      <c r="AP48" s="228">
        <f>IF(AP$46=-1,AR48,IF(AP$46=99,AO48,IF(AP$46=0,INDEX($J22:$P22,0,AP$44),(INDEX($J22:$P22,0,AP$46+1)-INDEX($J22:$P22,0,AP$46))/(INDEX($J$4:$P$4,0,AP$46+1)-INDEX($J$4:$P$4,0,AP$46))+AO48)))</f>
        <v>102.50170073932249</v>
      </c>
    </row>
    <row r="49" spans="1:42" s="227" customFormat="1">
      <c r="A49" s="41"/>
      <c r="B49" s="146" t="str">
        <f t="shared" ref="B49:B50" si="34">IF(A49="*","","COM_PROJ")</f>
        <v>COM_PROJ</v>
      </c>
      <c r="C49" s="147" t="str">
        <f t="shared" si="27"/>
        <v>-</v>
      </c>
      <c r="D49" s="61" t="str">
        <f t="shared" ref="D49:D50" si="35">B23</f>
        <v>TADJET</v>
      </c>
      <c r="E49" s="147" t="str">
        <f t="shared" si="28"/>
        <v>-</v>
      </c>
      <c r="F49" s="147" t="str">
        <f t="shared" si="28"/>
        <v>-</v>
      </c>
      <c r="G49" s="147" t="str">
        <f t="shared" si="28"/>
        <v>-</v>
      </c>
      <c r="H49" s="147" t="str">
        <f t="shared" si="28"/>
        <v>-</v>
      </c>
      <c r="I49" s="148">
        <f t="shared" ref="I49:I50" si="36">IF(A49="*","",0)</f>
        <v>0</v>
      </c>
      <c r="J49" s="228">
        <f t="shared" ref="J49:J50" si="37">J23</f>
        <v>20.123000000000001</v>
      </c>
      <c r="K49" s="228">
        <f t="shared" ref="K49:AL49" si="38">IF(K$46=-1,L49,IF(K$46=99,J49,IF(K$46=0,INDEX($J23:$P23,0,K$44),(INDEX($J23:$P23,0,K$46+1)-INDEX($J23:$P23,0,K$46))/(INDEX($J$4:$P$4,0,K$46+1)-INDEX($J$4:$P$4,0,K$46))+J49)))</f>
        <v>20.875489846873585</v>
      </c>
      <c r="L49" s="228">
        <f t="shared" si="38"/>
        <v>21.627979693747168</v>
      </c>
      <c r="M49" s="228">
        <f t="shared" si="38"/>
        <v>22.380469540620748</v>
      </c>
      <c r="N49" s="228">
        <f t="shared" si="38"/>
        <v>21.422848799886772</v>
      </c>
      <c r="O49" s="228">
        <f t="shared" si="38"/>
        <v>20.465228059152793</v>
      </c>
      <c r="P49" s="228">
        <f t="shared" si="38"/>
        <v>19.507607318418813</v>
      </c>
      <c r="Q49" s="228">
        <f t="shared" si="38"/>
        <v>18.549986577684834</v>
      </c>
      <c r="R49" s="228">
        <f t="shared" si="38"/>
        <v>20.465228059152793</v>
      </c>
      <c r="S49" s="228">
        <f t="shared" si="38"/>
        <v>21.848618883124693</v>
      </c>
      <c r="T49" s="228">
        <f t="shared" si="38"/>
        <v>23.232009707096594</v>
      </c>
      <c r="U49" s="228">
        <f t="shared" si="38"/>
        <v>24.615400531068495</v>
      </c>
      <c r="V49" s="228">
        <f t="shared" si="38"/>
        <v>25.998791355040396</v>
      </c>
      <c r="W49" s="228">
        <f t="shared" si="38"/>
        <v>27.382182179012297</v>
      </c>
      <c r="X49" s="228">
        <f t="shared" si="38"/>
        <v>28.765573002984198</v>
      </c>
      <c r="Y49" s="228">
        <f t="shared" si="38"/>
        <v>30.148963826956098</v>
      </c>
      <c r="Z49" s="228">
        <f t="shared" si="38"/>
        <v>31.532354650927999</v>
      </c>
      <c r="AA49" s="228">
        <f t="shared" si="38"/>
        <v>32.9157454748999</v>
      </c>
      <c r="AB49" s="228">
        <f t="shared" si="38"/>
        <v>24.615400531068499</v>
      </c>
      <c r="AC49" s="228">
        <f t="shared" si="38"/>
        <v>25.00910898214288</v>
      </c>
      <c r="AD49" s="228">
        <f t="shared" si="38"/>
        <v>25.402817433217262</v>
      </c>
      <c r="AE49" s="228">
        <f t="shared" si="38"/>
        <v>25.796525884291643</v>
      </c>
      <c r="AF49" s="228">
        <f t="shared" si="38"/>
        <v>26.190234335366025</v>
      </c>
      <c r="AG49" s="228">
        <f t="shared" si="38"/>
        <v>26.583942786440407</v>
      </c>
      <c r="AH49" s="228">
        <f t="shared" si="38"/>
        <v>26.977651237514788</v>
      </c>
      <c r="AI49" s="228">
        <f t="shared" si="38"/>
        <v>27.37135968858917</v>
      </c>
      <c r="AJ49" s="228">
        <f t="shared" si="38"/>
        <v>27.765068139663551</v>
      </c>
      <c r="AK49" s="228">
        <f t="shared" si="38"/>
        <v>28.158776590737933</v>
      </c>
      <c r="AL49" s="228">
        <f t="shared" si="38"/>
        <v>28.552485041812318</v>
      </c>
      <c r="AM49" s="258">
        <f t="shared" ref="AM49:AM50" si="39">(AL49+AN49)/2</f>
        <v>31.360142302059977</v>
      </c>
      <c r="AN49" s="228">
        <f t="shared" si="33"/>
        <v>34.167799562307636</v>
      </c>
      <c r="AO49" s="228">
        <f t="shared" si="33"/>
        <v>34.167799562307636</v>
      </c>
      <c r="AP49" s="228">
        <f>IF(AP$46=-1,AR49,IF(AP$46=99,AO49,IF(AP$46=0,INDEX($J23:$P23,0,AP$44),(INDEX($J23:$P23,0,AP$46+1)-INDEX($J23:$P23,0,AP$46))/(INDEX($J$4:$P$4,0,AP$46+1)-INDEX($J$4:$P$4,0,AP$46))+AO49)))</f>
        <v>34.167799562307636</v>
      </c>
    </row>
    <row r="50" spans="1:42" s="227" customFormat="1">
      <c r="A50" s="41"/>
      <c r="B50" s="146" t="str">
        <f t="shared" si="34"/>
        <v>COM_PROJ</v>
      </c>
      <c r="C50" s="147" t="str">
        <f t="shared" si="27"/>
        <v>-</v>
      </c>
      <c r="D50" s="61" t="str">
        <f t="shared" si="35"/>
        <v>TAOAG</v>
      </c>
      <c r="E50" s="147" t="str">
        <f t="shared" si="28"/>
        <v>-</v>
      </c>
      <c r="F50" s="147" t="str">
        <f t="shared" si="28"/>
        <v>-</v>
      </c>
      <c r="G50" s="147" t="str">
        <f t="shared" si="28"/>
        <v>-</v>
      </c>
      <c r="H50" s="147" t="str">
        <f t="shared" si="28"/>
        <v>-</v>
      </c>
      <c r="I50" s="148">
        <f t="shared" si="36"/>
        <v>0</v>
      </c>
      <c r="J50" s="228">
        <f t="shared" si="37"/>
        <v>1.0701311035156249</v>
      </c>
      <c r="K50" s="228">
        <f t="shared" ref="K50:AL50" si="40">IF(K$46=-1,L50,IF(K$46=99,J50,IF(K$46=0,INDEX($J24:$P24,0,K$44),(INDEX($J24:$P24,0,K$46+1)-INDEX($J24:$P24,0,K$46))/(INDEX($J$4:$P$4,0,K$46+1)-INDEX($J$4:$P$4,0,K$46))+J50)))</f>
        <v>1.1101481382628857</v>
      </c>
      <c r="L50" s="228">
        <f t="shared" si="40"/>
        <v>1.1501651730101465</v>
      </c>
      <c r="M50" s="228">
        <f t="shared" si="40"/>
        <v>1.1901822077574074</v>
      </c>
      <c r="N50" s="228">
        <f t="shared" si="40"/>
        <v>1.2139527108343753</v>
      </c>
      <c r="O50" s="228">
        <f t="shared" si="40"/>
        <v>1.2377232139113432</v>
      </c>
      <c r="P50" s="228">
        <f t="shared" si="40"/>
        <v>1.2614937169883111</v>
      </c>
      <c r="Q50" s="228">
        <f t="shared" si="40"/>
        <v>1.2852642200652791</v>
      </c>
      <c r="R50" s="228">
        <f t="shared" si="40"/>
        <v>1.2377232139113432</v>
      </c>
      <c r="S50" s="228">
        <f t="shared" si="40"/>
        <v>1.2614937169883109</v>
      </c>
      <c r="T50" s="228">
        <f t="shared" si="40"/>
        <v>1.2852642200652786</v>
      </c>
      <c r="U50" s="228">
        <f t="shared" si="40"/>
        <v>1.3090347231422463</v>
      </c>
      <c r="V50" s="228">
        <f t="shared" si="40"/>
        <v>1.332805226219214</v>
      </c>
      <c r="W50" s="228">
        <f t="shared" si="40"/>
        <v>1.3565757292961818</v>
      </c>
      <c r="X50" s="228">
        <f t="shared" si="40"/>
        <v>1.3803462323731495</v>
      </c>
      <c r="Y50" s="228">
        <f t="shared" si="40"/>
        <v>1.4041167354501172</v>
      </c>
      <c r="Z50" s="228">
        <f t="shared" si="40"/>
        <v>1.4278872385270849</v>
      </c>
      <c r="AA50" s="228">
        <f t="shared" si="40"/>
        <v>1.4516577416040526</v>
      </c>
      <c r="AB50" s="228">
        <f t="shared" si="40"/>
        <v>1.3090347231422466</v>
      </c>
      <c r="AC50" s="228">
        <f t="shared" si="40"/>
        <v>1.3299719422055898</v>
      </c>
      <c r="AD50" s="228">
        <f t="shared" si="40"/>
        <v>1.350909161268933</v>
      </c>
      <c r="AE50" s="228">
        <f t="shared" si="40"/>
        <v>1.3718463803322762</v>
      </c>
      <c r="AF50" s="228">
        <f t="shared" si="40"/>
        <v>1.3927835993956195</v>
      </c>
      <c r="AG50" s="228">
        <f t="shared" si="40"/>
        <v>1.4137208184589627</v>
      </c>
      <c r="AH50" s="228">
        <f t="shared" si="40"/>
        <v>1.4346580375223059</v>
      </c>
      <c r="AI50" s="228">
        <f t="shared" si="40"/>
        <v>1.4555952565856491</v>
      </c>
      <c r="AJ50" s="228">
        <f t="shared" si="40"/>
        <v>1.4765324756489924</v>
      </c>
      <c r="AK50" s="228">
        <f t="shared" si="40"/>
        <v>1.4974696947123356</v>
      </c>
      <c r="AL50" s="228">
        <f t="shared" si="40"/>
        <v>1.5184069137756786</v>
      </c>
      <c r="AM50" s="258">
        <f t="shared" si="39"/>
        <v>1.6677167265373185</v>
      </c>
      <c r="AN50" s="228">
        <f t="shared" si="33"/>
        <v>1.8170265392989584</v>
      </c>
      <c r="AO50" s="228">
        <f t="shared" si="33"/>
        <v>1.8170265392989584</v>
      </c>
      <c r="AP50" s="228">
        <f>IF(AP$46=-1,AR50,IF(AP$46=99,AO50,IF(AP$46=0,INDEX($J24:$P24,0,AP$44),(INDEX($J24:$P24,0,AP$46+1)-INDEX($J24:$P24,0,AP$46))/(INDEX($J$4:$P$4,0,AP$46+1)-INDEX($J$4:$P$4,0,AP$46))+AO50)))</f>
        <v>1.8170265392989584</v>
      </c>
    </row>
    <row r="51" spans="1:42" s="227" customFormat="1">
      <c r="A51" s="41"/>
      <c r="B51" s="146" t="str">
        <f t="shared" si="26"/>
        <v>COM_PROJ</v>
      </c>
      <c r="C51" s="147" t="str">
        <f t="shared" si="27"/>
        <v>-</v>
      </c>
      <c r="D51" s="61" t="s">
        <v>159</v>
      </c>
      <c r="E51" s="147" t="str">
        <f t="shared" si="28"/>
        <v>-</v>
      </c>
      <c r="F51" s="147" t="str">
        <f t="shared" si="28"/>
        <v>-</v>
      </c>
      <c r="G51" s="147" t="str">
        <f t="shared" si="28"/>
        <v>-</v>
      </c>
      <c r="H51" s="147" t="str">
        <f t="shared" si="28"/>
        <v>-</v>
      </c>
      <c r="I51" s="148">
        <f t="shared" si="29"/>
        <v>0</v>
      </c>
      <c r="J51" s="228">
        <f>J36</f>
        <v>2.1423460006713867E-2</v>
      </c>
      <c r="K51" s="228">
        <f t="shared" ref="K51:AL51" si="41">IF(K$46=-1,L51,IF(K$46=99,J51,IF(K$46=0,INDEX($J36:$P36,0,K$44),(INDEX($J36:$P36,0,K$46+1)-INDEX($J36:$P36,0,K$46))/(INDEX($J$4:$P$4,0,K$46+1)-INDEX($J$4:$P$4,0,K$46))+J51)))</f>
        <v>2.0907721487179648E-2</v>
      </c>
      <c r="L51" s="228">
        <f t="shared" si="41"/>
        <v>2.0391982967645429E-2</v>
      </c>
      <c r="M51" s="228">
        <f t="shared" si="41"/>
        <v>1.9876244448111209E-2</v>
      </c>
      <c r="N51" s="228">
        <f t="shared" si="41"/>
        <v>1.9362966026969561E-2</v>
      </c>
      <c r="O51" s="228">
        <f t="shared" si="41"/>
        <v>1.8849687605827913E-2</v>
      </c>
      <c r="P51" s="228">
        <f t="shared" si="41"/>
        <v>1.8336409184686264E-2</v>
      </c>
      <c r="Q51" s="228">
        <f t="shared" si="41"/>
        <v>1.7823130763544616E-2</v>
      </c>
      <c r="R51" s="228">
        <f t="shared" si="41"/>
        <v>1.8849687605827913E-2</v>
      </c>
      <c r="S51" s="228">
        <f t="shared" si="41"/>
        <v>1.8336409184686268E-2</v>
      </c>
      <c r="T51" s="228">
        <f t="shared" si="41"/>
        <v>1.7823130763544623E-2</v>
      </c>
      <c r="U51" s="228">
        <f t="shared" si="41"/>
        <v>1.7309852342402978E-2</v>
      </c>
      <c r="V51" s="228">
        <f t="shared" si="41"/>
        <v>1.6796573921261333E-2</v>
      </c>
      <c r="W51" s="228">
        <f t="shared" si="41"/>
        <v>1.6283295500119688E-2</v>
      </c>
      <c r="X51" s="228">
        <f t="shared" si="41"/>
        <v>1.5770017078978044E-2</v>
      </c>
      <c r="Y51" s="228">
        <f t="shared" si="41"/>
        <v>1.5256738657836397E-2</v>
      </c>
      <c r="Z51" s="228">
        <f t="shared" si="41"/>
        <v>1.4743460236694751E-2</v>
      </c>
      <c r="AA51" s="228">
        <f t="shared" si="41"/>
        <v>1.4230181815553104E-2</v>
      </c>
      <c r="AB51" s="228">
        <f t="shared" si="41"/>
        <v>1.7309852342402975E-2</v>
      </c>
      <c r="AC51" s="228">
        <f t="shared" si="41"/>
        <v>1.7706102087294354E-2</v>
      </c>
      <c r="AD51" s="228">
        <f t="shared" si="41"/>
        <v>1.8102351832185733E-2</v>
      </c>
      <c r="AE51" s="228">
        <f t="shared" si="41"/>
        <v>1.8498601577077112E-2</v>
      </c>
      <c r="AF51" s="228">
        <f t="shared" si="41"/>
        <v>1.8894851321968491E-2</v>
      </c>
      <c r="AG51" s="228">
        <f t="shared" si="41"/>
        <v>1.929110106685987E-2</v>
      </c>
      <c r="AH51" s="228">
        <f t="shared" si="41"/>
        <v>1.9687350811751249E-2</v>
      </c>
      <c r="AI51" s="228">
        <f t="shared" si="41"/>
        <v>2.0083600556642628E-2</v>
      </c>
      <c r="AJ51" s="228">
        <f t="shared" si="41"/>
        <v>2.0479850301534007E-2</v>
      </c>
      <c r="AK51" s="228">
        <f t="shared" si="41"/>
        <v>2.0876100046425386E-2</v>
      </c>
      <c r="AL51" s="228">
        <f t="shared" si="41"/>
        <v>2.1272349791316751E-2</v>
      </c>
      <c r="AM51" s="258">
        <f t="shared" si="32"/>
        <v>2.4376362213988131E-2</v>
      </c>
      <c r="AN51" s="228">
        <f>IF(AN$46=-1,AO51,IF(AN$46=99,AM51,IF(AN$46=0,INDEX($J36:$P36,0,AN$44),(INDEX($J36:$P36,0,AN$46+1)-INDEX($J36:$P36,0,AN$46))/(INDEX($J$4:$P$4,0,AN$46+1)-INDEX($J$4:$P$4,0,AN$46))+AM51)))</f>
        <v>2.7480374636659508E-2</v>
      </c>
      <c r="AO51" s="228">
        <f>IF(AO$46=-1,AP51,IF(AO$46=99,AN51,IF(AO$46=0,INDEX($J36:$P36,0,AO$44),(INDEX($J36:$P36,0,AO$46+1)-INDEX($J36:$P36,0,AO$46))/(INDEX($J$4:$P$4,0,AO$46+1)-INDEX($J$4:$P$4,0,AO$46))+AN51)))</f>
        <v>2.7480374636659508E-2</v>
      </c>
      <c r="AP51" s="228">
        <f>IF(AP$46=-1,AR51,IF(AP$46=99,AO51,IF(AP$46=0,INDEX($J36:$P36,0,AP$44),(INDEX($J36:$P36,0,AP$46+1)-INDEX($J36:$P36,0,AP$46))/(INDEX($J$4:$P$4,0,AP$46+1)-INDEX($J$4:$P$4,0,AP$46))+AO51)))</f>
        <v>2.7480374636659508E-2</v>
      </c>
    </row>
  </sheetData>
  <mergeCells count="1">
    <mergeCell ref="B2:C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8</vt:i4>
      </vt:variant>
    </vt:vector>
  </HeadingPairs>
  <TitlesOfParts>
    <vt:vector size="31" baseType="lpstr">
      <vt:lpstr>ChangeLog</vt:lpstr>
      <vt:lpstr>REGIONS</vt:lpstr>
      <vt:lpstr>Index_SATIM</vt:lpstr>
      <vt:lpstr>Index_CGE</vt:lpstr>
      <vt:lpstr>Index_G2E</vt:lpstr>
      <vt:lpstr>Index_E2G</vt:lpstr>
      <vt:lpstr>POP_STATSSA</vt:lpstr>
      <vt:lpstr>MCDrivers</vt:lpstr>
      <vt:lpstr>MCEcon</vt:lpstr>
      <vt:lpstr>DMD</vt:lpstr>
      <vt:lpstr>hh.inc.regressions</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alison</cp:lastModifiedBy>
  <dcterms:created xsi:type="dcterms:W3CDTF">2011-09-16T10:01:44Z</dcterms:created>
  <dcterms:modified xsi:type="dcterms:W3CDTF">2020-07-09T10:22:44Z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